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311" windowWidth="10395" windowHeight="11640" tabRatio="971" activeTab="0"/>
  </bookViews>
  <sheets>
    <sheet name="1. 현황, 2. 기준대비, 3. 측정결과" sheetId="1" r:id="rId1"/>
    <sheet name="4. 지역별" sheetId="2" r:id="rId2"/>
    <sheet name="5. 지점별" sheetId="3" r:id="rId3"/>
    <sheet name="6-1.최근 3년간" sheetId="4" r:id="rId4"/>
    <sheet name="6-2. 2-4분기현황" sheetId="5" r:id="rId5"/>
    <sheet name="6-3. 최고, 최저 현황" sheetId="6" r:id="rId6"/>
    <sheet name="6-4. 환경기준이내지역" sheetId="7" r:id="rId7"/>
    <sheet name="지점별 당해,전년, 지난분기" sheetId="8" r:id="rId8"/>
    <sheet name="Chart1" sheetId="9" r:id="rId9"/>
  </sheets>
  <definedNames>
    <definedName name="_xlnm.Print_Area" localSheetId="1">'4. 지역별'!$A$1:$H$23</definedName>
    <definedName name="_xlnm.Print_Area" localSheetId="2">'5. 지점별'!$A$1:$O$54</definedName>
  </definedNames>
  <calcPr fullCalcOnLoad="1"/>
</workbook>
</file>

<file path=xl/sharedStrings.xml><?xml version="1.0" encoding="utf-8"?>
<sst xmlns="http://schemas.openxmlformats.org/spreadsheetml/2006/main" count="431" uniqueCount="258">
  <si>
    <t xml:space="preserve"> </t>
  </si>
  <si>
    <t xml:space="preserve">
* 영도구 남항동
   하나전기앞 
* 영도구 남항동
    신한아파트앞
</t>
  </si>
  <si>
    <r>
      <t xml:space="preserve">낮시간 </t>
    </r>
    <r>
      <rPr>
        <sz val="12"/>
        <color indexed="12"/>
        <rFont val="돋움"/>
        <family val="3"/>
      </rPr>
      <t>적</t>
    </r>
    <r>
      <rPr>
        <sz val="12"/>
        <rFont val="돋움"/>
        <family val="3"/>
      </rPr>
      <t>,</t>
    </r>
    <r>
      <rPr>
        <sz val="12"/>
        <color indexed="10"/>
        <rFont val="돋움"/>
        <family val="3"/>
      </rPr>
      <t>부</t>
    </r>
  </si>
  <si>
    <r>
      <t xml:space="preserve">밤시간 </t>
    </r>
    <r>
      <rPr>
        <sz val="12"/>
        <color indexed="12"/>
        <rFont val="돋움"/>
        <family val="3"/>
      </rPr>
      <t>적</t>
    </r>
    <r>
      <rPr>
        <sz val="12"/>
        <rFont val="돋움"/>
        <family val="3"/>
      </rPr>
      <t>,</t>
    </r>
    <r>
      <rPr>
        <sz val="12"/>
        <color indexed="10"/>
        <rFont val="돋움"/>
        <family val="3"/>
      </rPr>
      <t>부</t>
    </r>
  </si>
  <si>
    <t>적용대상</t>
  </si>
  <si>
    <t>측정지역</t>
  </si>
  <si>
    <t>소음도</t>
  </si>
  <si>
    <t>측정지점</t>
  </si>
  <si>
    <t>TM좌표</t>
  </si>
  <si>
    <t>낮시간대</t>
  </si>
  <si>
    <t>밤시간대</t>
  </si>
  <si>
    <t>평균</t>
  </si>
  <si>
    <t>가</t>
  </si>
  <si>
    <t>일반</t>
  </si>
  <si>
    <t>동상앞</t>
  </si>
  <si>
    <t>도서관앞</t>
  </si>
  <si>
    <t>충혼탑입구</t>
  </si>
  <si>
    <t>도로</t>
  </si>
  <si>
    <t>방범초소앞</t>
  </si>
  <si>
    <t>시민헌장앞</t>
  </si>
  <si>
    <t>나</t>
  </si>
  <si>
    <t>유한빌라앞</t>
  </si>
  <si>
    <t>대진아파트앞</t>
  </si>
  <si>
    <t>사직주공안</t>
  </si>
  <si>
    <t>14동 시영APT뒤</t>
  </si>
  <si>
    <t>미진골든빌라앞</t>
  </si>
  <si>
    <t>1동 시영APT입구</t>
  </si>
  <si>
    <t>13동 시영APT입구</t>
  </si>
  <si>
    <t>다</t>
  </si>
  <si>
    <t>파라다이스호텔옆</t>
  </si>
  <si>
    <t>하나전기앞</t>
  </si>
  <si>
    <t>남항새마을금고</t>
  </si>
  <si>
    <t>가로</t>
  </si>
  <si>
    <t>측정지역
  (주소)</t>
  </si>
  <si>
    <t>법적
구분</t>
  </si>
  <si>
    <t>용도
구분</t>
  </si>
  <si>
    <t>녹
지</t>
  </si>
  <si>
    <t>종
합
병
원</t>
  </si>
  <si>
    <t>중구
대청공원
내</t>
  </si>
  <si>
    <t>일
반
주
거
1</t>
  </si>
  <si>
    <t>일
반
주
거
2</t>
  </si>
  <si>
    <t>기장군
기장읍
동부리</t>
  </si>
  <si>
    <t>동래구
사직2동</t>
  </si>
  <si>
    <t>도로</t>
  </si>
  <si>
    <t>지역
구분</t>
  </si>
  <si>
    <t>파라다이스호텔입구</t>
  </si>
  <si>
    <t>북구
덕천1동</t>
  </si>
  <si>
    <t>해운대구
중1동</t>
  </si>
  <si>
    <t>영도구
남항동</t>
  </si>
  <si>
    <t>일
반
주
거
3</t>
  </si>
  <si>
    <t>상
업</t>
  </si>
  <si>
    <t>준
공
업</t>
  </si>
  <si>
    <t>단위 : dB(A)</t>
  </si>
  <si>
    <t>종합병원</t>
  </si>
  <si>
    <t>중구 대청공원내</t>
  </si>
  <si>
    <t>"다"지역</t>
  </si>
  <si>
    <t>평균</t>
  </si>
  <si>
    <t>"가" 및
"나"지역</t>
  </si>
  <si>
    <t>적용대상지역</t>
  </si>
  <si>
    <t>측정지역
(주소)</t>
  </si>
  <si>
    <t>측정소음도</t>
  </si>
  <si>
    <t>낮
(06:00-22:00)</t>
  </si>
  <si>
    <t>밤
(22:00-06:00)</t>
  </si>
  <si>
    <t>일
반
지
역</t>
  </si>
  <si>
    <t>"가"지역</t>
  </si>
  <si>
    <t>녹지지역</t>
  </si>
  <si>
    <t>"나"지역</t>
  </si>
  <si>
    <t>일  반
주거지역</t>
  </si>
  <si>
    <t>기장군 기장읍 동부리</t>
  </si>
  <si>
    <t>동래구 사직2동</t>
  </si>
  <si>
    <t xml:space="preserve">북구 덕천1동 </t>
  </si>
  <si>
    <t>상업지역</t>
  </si>
  <si>
    <t>해운대구 중1동</t>
  </si>
  <si>
    <t>준공업지역</t>
  </si>
  <si>
    <t>영도구 남항동</t>
  </si>
  <si>
    <t>도
로
변
지
역</t>
  </si>
  <si>
    <t>일반
주거지역</t>
  </si>
  <si>
    <t>5. 지점별 소음도 현황</t>
  </si>
  <si>
    <t>세로</t>
  </si>
  <si>
    <t>파라다이스호텔입구</t>
  </si>
  <si>
    <t>일   반
지   역</t>
  </si>
  <si>
    <t>낮</t>
  </si>
  <si>
    <t>밤</t>
  </si>
  <si>
    <t>도로변
지   역</t>
  </si>
  <si>
    <t>구분</t>
  </si>
  <si>
    <t>최고지역</t>
  </si>
  <si>
    <t>소음도</t>
  </si>
  <si>
    <t>최저지역</t>
  </si>
  <si>
    <t>부산광역시 환경소음 실태보고서</t>
  </si>
  <si>
    <t>단위:dB(A)</t>
  </si>
  <si>
    <t>지역구분</t>
  </si>
  <si>
    <t>적용대상지역</t>
  </si>
  <si>
    <t>당해분기</t>
  </si>
  <si>
    <t>지난분기</t>
  </si>
  <si>
    <t>낮</t>
  </si>
  <si>
    <t>밤</t>
  </si>
  <si>
    <t>일반지역</t>
  </si>
  <si>
    <t>"가"지역</t>
  </si>
  <si>
    <t>"나"지역</t>
  </si>
  <si>
    <t>"다"지역</t>
  </si>
  <si>
    <t>도로변지역</t>
  </si>
  <si>
    <t>"가"및"나"지역</t>
  </si>
  <si>
    <t>2. 측정지역, 지점별 기준대비</t>
  </si>
  <si>
    <t>구분</t>
  </si>
  <si>
    <t>대상수</t>
  </si>
  <si>
    <t>측정지역</t>
  </si>
  <si>
    <t>7개 지역</t>
  </si>
  <si>
    <t>측정지점</t>
  </si>
  <si>
    <t>3. 측정결과(종합의견)</t>
  </si>
  <si>
    <t>6-3.  최고, 최저 소음지역 현황</t>
  </si>
  <si>
    <t>6-4.  환경기준이내 지역 및 지점</t>
  </si>
  <si>
    <t>단위 : dB(A)</t>
  </si>
  <si>
    <t>중구대청공원내</t>
  </si>
  <si>
    <t>지역</t>
  </si>
  <si>
    <t>지점명</t>
  </si>
  <si>
    <t>일반지역</t>
  </si>
  <si>
    <t>"</t>
  </si>
  <si>
    <t>도로변지역</t>
  </si>
  <si>
    <t>기장읍 동부리</t>
  </si>
  <si>
    <t>동래구 사직2동</t>
  </si>
  <si>
    <t>북구 덕천1동</t>
  </si>
  <si>
    <t>해운대구 중1동</t>
  </si>
  <si>
    <t>파라다이스호텔입구</t>
  </si>
  <si>
    <t>영도구 남항동</t>
  </si>
  <si>
    <t>환경기준</t>
  </si>
  <si>
    <t>낮</t>
  </si>
  <si>
    <t>밤</t>
  </si>
  <si>
    <t>환경소음기준초과</t>
  </si>
  <si>
    <t>일반지역</t>
  </si>
  <si>
    <t>도로변지역</t>
  </si>
  <si>
    <t>낮</t>
  </si>
  <si>
    <t>밤</t>
  </si>
  <si>
    <t>환경소음기준이내</t>
  </si>
  <si>
    <t>6-1. 최근 3년간 환경소음도 분석 평가</t>
  </si>
  <si>
    <t>환경기준</t>
  </si>
  <si>
    <t>낮</t>
  </si>
  <si>
    <t>밤</t>
  </si>
  <si>
    <t>지역별</t>
  </si>
  <si>
    <t>연도별</t>
  </si>
  <si>
    <t>평균</t>
  </si>
  <si>
    <t>초과</t>
  </si>
  <si>
    <t>일반</t>
  </si>
  <si>
    <t>이내</t>
  </si>
  <si>
    <t>건강탕앞</t>
  </si>
  <si>
    <t>고원아파트1동107호앞</t>
  </si>
  <si>
    <t>하성약국옆</t>
  </si>
  <si>
    <t>부산진구
개금2동
백병원
주변</t>
  </si>
  <si>
    <t>개금2동새마을금고앞</t>
  </si>
  <si>
    <t>주원초등학교옆</t>
  </si>
  <si>
    <t>제3기장교회앞</t>
  </si>
  <si>
    <t>유한빌라앞</t>
  </si>
  <si>
    <t>제비표페인트앞</t>
  </si>
  <si>
    <t>기아자동차앞</t>
  </si>
  <si>
    <t>사직로얄A입구건너편</t>
  </si>
  <si>
    <t>종로엠스쿨앞</t>
  </si>
  <si>
    <t>시영A5동5~6라인앞</t>
  </si>
  <si>
    <t>메리어트호텔 뒤</t>
  </si>
  <si>
    <t>㈜태림오릭스옆</t>
  </si>
  <si>
    <t>신한아파트앞</t>
  </si>
  <si>
    <t>카이스트안경앞</t>
  </si>
  <si>
    <t>파라다이스호텔 옆</t>
  </si>
  <si>
    <t>메리어트호텔 좌</t>
  </si>
  <si>
    <t>메리어트호텔 우</t>
  </si>
  <si>
    <t>부산진구 백병원 주변</t>
  </si>
  <si>
    <t>부산진구 백병원주변</t>
  </si>
  <si>
    <t>건강탕앞</t>
  </si>
  <si>
    <t>고원아파트1/107앞</t>
  </si>
  <si>
    <t>하성약국옆</t>
  </si>
  <si>
    <t>개금2동새마을금고앞</t>
  </si>
  <si>
    <t>주원초등학교옆</t>
  </si>
  <si>
    <t>제3기장교회앞</t>
  </si>
  <si>
    <t>제비표페인트앞</t>
  </si>
  <si>
    <t>기아자동차앞</t>
  </si>
  <si>
    <t>사직로얄A입구건너편</t>
  </si>
  <si>
    <t>종로엠스쿨앞</t>
  </si>
  <si>
    <t>시영A5동5~6라인앞</t>
  </si>
  <si>
    <t>메리어트호텔뒤</t>
  </si>
  <si>
    <t>메리어트호텔좌</t>
  </si>
  <si>
    <t>메리어트호텔우</t>
  </si>
  <si>
    <t>㈜태림오릭스옆</t>
  </si>
  <si>
    <t>신한아파트앞</t>
  </si>
  <si>
    <t>카이스트안경앞</t>
  </si>
  <si>
    <t>"라"지역 : 일반공업지역, 전용공업지역</t>
  </si>
  <si>
    <t>낮</t>
  </si>
  <si>
    <t>밤</t>
  </si>
  <si>
    <t>기준이내</t>
  </si>
  <si>
    <t>기준초과</t>
  </si>
  <si>
    <t>합계</t>
  </si>
  <si>
    <t>하나메기탕앞</t>
  </si>
  <si>
    <t>1. 적용대상 지역별 현황</t>
  </si>
  <si>
    <t>묵자골감자탕앞</t>
  </si>
  <si>
    <t>전년동분기</t>
  </si>
  <si>
    <t>묵자골감자탕앞</t>
  </si>
  <si>
    <t>35개지점</t>
  </si>
  <si>
    <t>□ 지역별 연도별 환경소음도 현황</t>
  </si>
  <si>
    <t>"가"지역 :  전용주거지역, 녹지지역, 병원, 학교주변지역</t>
  </si>
  <si>
    <t>"나'지역 : 일반주거지역, 준주거지역</t>
  </si>
  <si>
    <t>"다"지역 : 상업지역, 준공업지역</t>
  </si>
  <si>
    <t>"라"지역 : 일반공업지역, 전용공업지역</t>
  </si>
  <si>
    <t>소음도</t>
  </si>
  <si>
    <t>□ 지점별 당해, 전년, 지난분기 소음도 평균</t>
  </si>
  <si>
    <t>지  점</t>
  </si>
  <si>
    <t>낮평균</t>
  </si>
  <si>
    <t>밤평균</t>
  </si>
  <si>
    <t>방범초소앞</t>
  </si>
  <si>
    <t>건강탕앞</t>
  </si>
  <si>
    <t>고원아파트1동107호앞</t>
  </si>
  <si>
    <t>하성약국옆</t>
  </si>
  <si>
    <t>개금2동새마을금고앞</t>
  </si>
  <si>
    <t>주원초등학교옆</t>
  </si>
  <si>
    <t>제3기장교회앞</t>
  </si>
  <si>
    <t>제비표페인트앞</t>
  </si>
  <si>
    <t>기아자동차앞</t>
  </si>
  <si>
    <t>묵자골감자탕앞</t>
  </si>
  <si>
    <t>하나메기탕앞</t>
  </si>
  <si>
    <t>사직로얄A입구건너편</t>
  </si>
  <si>
    <t>종로엠스쿨앞</t>
  </si>
  <si>
    <t>14동시영APT뒤</t>
  </si>
  <si>
    <t>시영A5동5~6라인앞</t>
  </si>
  <si>
    <t>1동시영APT입구</t>
  </si>
  <si>
    <t>13동시영APT입구</t>
  </si>
  <si>
    <t>메리어트호텔뒤</t>
  </si>
  <si>
    <t>메리어트호텔좌</t>
  </si>
  <si>
    <t>메리어트호텔우</t>
  </si>
  <si>
    <t>㈜태림오릭스옆</t>
  </si>
  <si>
    <t>신한아파트앞</t>
  </si>
  <si>
    <t>카이스트안경앞</t>
  </si>
  <si>
    <t>남항새마을금고</t>
  </si>
  <si>
    <t>6-2. 최근 3년간 2/4분기 환경소음도 현황</t>
  </si>
  <si>
    <t>(2008년도 2/4분기)</t>
  </si>
  <si>
    <t xml:space="preserve">  * 영도구 남항동
    신한아파트앞 </t>
  </si>
  <si>
    <t>* 중구 대청공원 내 
   도서관 앞
*  동래구 사직2동
   사직주공안</t>
  </si>
  <si>
    <t xml:space="preserve"> * 동래구 사직2동 
   하나메기탕앞
 * 북구덕천1동
   미진골든빌라앞
 * 해운대구 중1동 
   파라다이스호텔 옆
 * 해운대구 중1동 
   파라다이스호텔 입구</t>
  </si>
  <si>
    <t xml:space="preserve"> * 영도구 남항동  
   카이스트안경점 앞</t>
  </si>
  <si>
    <t xml:space="preserve"> * 북구덕천1동
   13동 시영아파트입구
 * 영도구 남항동  
   카이스트안경점 앞</t>
  </si>
  <si>
    <t>지역
구분</t>
  </si>
  <si>
    <t>환경기준</t>
  </si>
  <si>
    <t>적용대상지역</t>
  </si>
  <si>
    <t>평균</t>
  </si>
  <si>
    <t>낮</t>
  </si>
  <si>
    <t>밤</t>
  </si>
  <si>
    <t>지역별</t>
  </si>
  <si>
    <t>연도별</t>
  </si>
  <si>
    <t>일반
지역</t>
  </si>
  <si>
    <t>"가"
지역</t>
  </si>
  <si>
    <t>"나"
지역</t>
  </si>
  <si>
    <t>"다"
지역</t>
  </si>
  <si>
    <t>도로
지역</t>
  </si>
  <si>
    <t>"가" 및
"나" 지역</t>
  </si>
  <si>
    <t>지난분기('08.1/4)</t>
  </si>
  <si>
    <t>전년분기('07.2/4)</t>
  </si>
  <si>
    <t>철거공사</t>
  </si>
  <si>
    <t>당해분기('08.2/4)</t>
  </si>
  <si>
    <t>평균</t>
  </si>
  <si>
    <t>4. 지역별 소음도 현황('08.2/4)</t>
  </si>
  <si>
    <t xml:space="preserve"> * 중구 대청공원 내
    시민헌장 앞</t>
  </si>
  <si>
    <t xml:space="preserve"> * 중구대청공원내 
    시민헌장앞</t>
  </si>
  <si>
    <r>
      <t xml:space="preserve">  ○ 일반지역 
   지난 분기와 비교시 ["가"지역]은 낮시간대에 1dB 증가하였으며, [ "나"지역]과[ "다"지역]은 
</t>
    </r>
    <r>
      <rPr>
        <sz val="11"/>
        <rFont val="돋움"/>
        <family val="0"/>
      </rPr>
      <t xml:space="preserve">  </t>
    </r>
    <r>
      <rPr>
        <sz val="11"/>
        <rFont val="돋움"/>
        <family val="0"/>
      </rPr>
      <t xml:space="preserve"> 밤시간대에 각각 1dB과 </t>
    </r>
    <r>
      <rPr>
        <sz val="11"/>
        <rFont val="돋움"/>
        <family val="0"/>
      </rPr>
      <t>2</t>
    </r>
    <r>
      <rPr>
        <sz val="11"/>
        <rFont val="돋움"/>
        <family val="0"/>
      </rPr>
      <t xml:space="preserve">dB 감소를 나타냄. 전년도 동분기와는 낮시간대의 경우 ["가"지역]
</t>
    </r>
    <r>
      <rPr>
        <sz val="11"/>
        <rFont val="돋움"/>
        <family val="0"/>
      </rPr>
      <t xml:space="preserve">   </t>
    </r>
    <r>
      <rPr>
        <sz val="11"/>
        <rFont val="돋움"/>
        <family val="0"/>
      </rPr>
      <t>에서 1dB 감소를 나타내었고 , 밤시간대의 경우 ["다"지역]에서 2dB 감소를 보임.              
  ○ 도로변지역
   지난 분기와 비교시 낮시간대의 경우 ["가" 및 "나"]지역은 1dB 증가</t>
    </r>
    <r>
      <rPr>
        <sz val="11"/>
        <rFont val="돋움"/>
        <family val="0"/>
      </rPr>
      <t xml:space="preserve">,  ["다"지역]은 1dB 감소
   </t>
    </r>
    <r>
      <rPr>
        <sz val="11"/>
        <rFont val="돋움"/>
        <family val="0"/>
      </rPr>
      <t xml:space="preserve">를 나타내었고, 밤시간대의 경우 ["가" 및 "나"]지역은 변화가 없었고, ["다"지역]은 1dB 감소를
   나타냄. 전년도 동분기 비교시는 ["가" 및 "나"]지역은 낮시간대 밤시간대 모두 1dB 증가하였으며
   ["다"지역] 낮시간대 밤시간대 모두 변화를 나타내지 않음.
  ○ 일반지역 지점별 
   가장 높은 소음도를 보인 지점은 낮시간대에 영도구 남항동 하나전기앞과 신한아파트앞이 62dB,
   밤시간대에는  동래구 사직2동 하나메기탕앞 등 4개지점에서 54 dB을 나타냄. 가장 낮은 지점은
   낮시간대에 중구  대청공원내 도서관 앞 등 2개지점에서 에서 52dB, 밤시간대에는 영도구 남항동
   신한아파트앞 에서 42dB를 나타냄. 일반지역 중 환경기준이내는 낮 4개지역 12개지점, 밤 2개지역
   6개지점이었으며, 환경기준초과는 낮 3개지역 9개지점, 밤 5개지역 15개 지점으로 조사됨.
  ○ 도로변지역 지점별
   가장 높은 소음도를 보인 지점은 낮시간대에 영도구 남항동 카이스트안경점 앞에서 71dB, 밤시
   간대에는 북구 덕천동 13동 시영아파트입구와 영도구 남항동 카이스트안경점 앞에서 각각 68dB
   을 보였으며, 가장 낮은 지점은 낮시간대에 중구 대청공원내 시민헌장 앞과 영도구 남항동
   ㈜ 태림오릭스옆 에서 61dB, 밤시간대에는  중구 대청공원내 시민헌장 앞이 서 각각 56dB로 </t>
    </r>
    <r>
      <rPr>
        <sz val="11"/>
        <rFont val="돋움"/>
        <family val="0"/>
      </rPr>
      <t>조사
   되었으며,</t>
    </r>
    <r>
      <rPr>
        <sz val="11"/>
        <rFont val="돋움"/>
        <family val="0"/>
      </rPr>
      <t xml:space="preserve"> 도로변지역 중 환경기준이내는 낮 4개지역 6개지점, 환경기준초과는 낮 3개지역 8개
</t>
    </r>
    <r>
      <rPr>
        <sz val="11"/>
        <rFont val="돋움"/>
        <family val="0"/>
      </rPr>
      <t xml:space="preserve">   </t>
    </r>
    <r>
      <rPr>
        <sz val="11"/>
        <rFont val="돋움"/>
        <family val="0"/>
      </rPr>
      <t>지점</t>
    </r>
    <r>
      <rPr>
        <sz val="11"/>
        <rFont val="돋움"/>
        <family val="0"/>
      </rPr>
      <t xml:space="preserve">, </t>
    </r>
    <r>
      <rPr>
        <sz val="11"/>
        <rFont val="돋움"/>
        <family val="0"/>
      </rPr>
      <t>밤 7개 지역 14개지점으로 조사되었다.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</si>
</sst>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mm&quot;월&quot;\ dd&quot;일&quot;"/>
    <numFmt numFmtId="180" formatCode="m/d"/>
    <numFmt numFmtId="181" formatCode="mmm/yyyy"/>
    <numFmt numFmtId="182" formatCode="\'yy"/>
    <numFmt numFmtId="183" formatCode="yy"/>
    <numFmt numFmtId="184" formatCode="yy&quot;-&quot;m&quot;-&quot;d"/>
    <numFmt numFmtId="185" formatCode="0.0000"/>
    <numFmt numFmtId="186" formatCode="\(\100%\)"/>
    <numFmt numFmtId="187" formatCode="0.0%"/>
    <numFmt numFmtId="188" formatCode="0.0_ "/>
    <numFmt numFmtId="189" formatCode="0_);[Red]\(0\)"/>
    <numFmt numFmtId="190" formatCode="0.00_ "/>
    <numFmt numFmtId="191" formatCode="0.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_ "/>
    <numFmt numFmtId="198" formatCode="0.0000_ "/>
  </numFmts>
  <fonts count="42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b/>
      <sz val="16"/>
      <name val="HY신명조"/>
      <family val="1"/>
    </font>
    <font>
      <sz val="12"/>
      <name val="HY신명조"/>
      <family val="1"/>
    </font>
    <font>
      <sz val="11"/>
      <name val="HY신명조"/>
      <family val="1"/>
    </font>
    <font>
      <b/>
      <sz val="11"/>
      <name val="HY신명조"/>
      <family val="1"/>
    </font>
    <font>
      <sz val="10"/>
      <name val="HY신명조"/>
      <family val="1"/>
    </font>
    <font>
      <sz val="9"/>
      <name val="HY신명조"/>
      <family val="1"/>
    </font>
    <font>
      <b/>
      <sz val="14"/>
      <name val="HY신명조"/>
      <family val="1"/>
    </font>
    <font>
      <b/>
      <sz val="20"/>
      <name val="HY신명조"/>
      <family val="1"/>
    </font>
    <font>
      <b/>
      <sz val="12"/>
      <name val="HY신명조"/>
      <family val="1"/>
    </font>
    <font>
      <sz val="11"/>
      <color indexed="10"/>
      <name val="HY신명조"/>
      <family val="1"/>
    </font>
    <font>
      <b/>
      <sz val="1.5"/>
      <name val="HY신명조"/>
      <family val="1"/>
    </font>
    <font>
      <sz val="1.5"/>
      <name val="돋움"/>
      <family val="3"/>
    </font>
    <font>
      <sz val="1"/>
      <name val="돋움"/>
      <family val="3"/>
    </font>
    <font>
      <sz val="1"/>
      <name val="HY신명조"/>
      <family val="1"/>
    </font>
    <font>
      <b/>
      <sz val="14"/>
      <name val="돋움"/>
      <family val="3"/>
    </font>
    <font>
      <sz val="11"/>
      <color indexed="8"/>
      <name val="HY신명조"/>
      <family val="1"/>
    </font>
    <font>
      <sz val="11"/>
      <color indexed="12"/>
      <name val="HY신명조"/>
      <family val="1"/>
    </font>
    <font>
      <sz val="12"/>
      <name val="돋움"/>
      <family val="3"/>
    </font>
    <font>
      <sz val="14"/>
      <name val="돋움"/>
      <family val="3"/>
    </font>
    <font>
      <sz val="16"/>
      <color indexed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48"/>
      <name val="돋움"/>
      <family val="3"/>
    </font>
    <font>
      <sz val="8"/>
      <name val="HY신명조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8"/>
      <name val="굴림"/>
      <family val="3"/>
    </font>
    <font>
      <sz val="8.25"/>
      <name val="돋움"/>
      <family val="3"/>
    </font>
    <font>
      <b/>
      <u val="single"/>
      <sz val="12"/>
      <name val="굴림"/>
      <family val="3"/>
    </font>
    <font>
      <sz val="12"/>
      <color indexed="12"/>
      <name val="돋움"/>
      <family val="3"/>
    </font>
    <font>
      <sz val="12"/>
      <color indexed="10"/>
      <name val="돋움"/>
      <family val="3"/>
    </font>
    <font>
      <sz val="11.25"/>
      <name val="돋움"/>
      <family val="3"/>
    </font>
    <font>
      <sz val="10.25"/>
      <name val="돋움"/>
      <family val="3"/>
    </font>
    <font>
      <b/>
      <sz val="10.25"/>
      <name val="돋움"/>
      <family val="3"/>
    </font>
    <font>
      <sz val="7"/>
      <name val="돋움"/>
      <family val="3"/>
    </font>
    <font>
      <i/>
      <sz val="11"/>
      <color indexed="8"/>
      <name val="굴림"/>
      <family val="3"/>
    </font>
    <font>
      <sz val="12"/>
      <color indexed="10"/>
      <name val="HY신명조"/>
      <family val="1"/>
    </font>
    <font>
      <b/>
      <sz val="12"/>
      <color indexed="10"/>
      <name val="HY신명조"/>
      <family val="1"/>
    </font>
    <font>
      <sz val="11"/>
      <color indexed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5" fillId="0" borderId="3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176" fontId="5" fillId="0" borderId="15" xfId="21" applyNumberFormat="1" applyFont="1" applyFill="1" applyBorder="1" applyAlignment="1">
      <alignment horizontal="center" vertical="center"/>
      <protection/>
    </xf>
    <xf numFmtId="176" fontId="18" fillId="2" borderId="15" xfId="0" applyNumberFormat="1" applyFont="1" applyFill="1" applyBorder="1" applyAlignment="1">
      <alignment horizontal="center" vertical="center"/>
    </xf>
    <xf numFmtId="176" fontId="5" fillId="3" borderId="15" xfId="21" applyNumberFormat="1" applyFont="1" applyFill="1" applyBorder="1" applyAlignment="1">
      <alignment horizontal="center" vertical="center"/>
      <protection/>
    </xf>
    <xf numFmtId="176" fontId="5" fillId="0" borderId="16" xfId="21" applyNumberFormat="1" applyFont="1" applyFill="1" applyBorder="1" applyAlignment="1">
      <alignment horizontal="center" vertical="center"/>
      <protection/>
    </xf>
    <xf numFmtId="176" fontId="5" fillId="3" borderId="16" xfId="21" applyNumberFormat="1" applyFont="1" applyFill="1" applyBorder="1" applyAlignment="1">
      <alignment horizontal="center" vertical="center"/>
      <protection/>
    </xf>
    <xf numFmtId="176" fontId="18" fillId="2" borderId="16" xfId="0" applyNumberFormat="1" applyFont="1" applyFill="1" applyBorder="1" applyAlignment="1">
      <alignment horizontal="center" vertical="center"/>
    </xf>
    <xf numFmtId="176" fontId="5" fillId="0" borderId="17" xfId="21" applyNumberFormat="1" applyFont="1" applyFill="1" applyBorder="1" applyAlignment="1">
      <alignment horizontal="center" vertical="center"/>
      <protection/>
    </xf>
    <xf numFmtId="176" fontId="5" fillId="3" borderId="17" xfId="21" applyNumberFormat="1" applyFont="1" applyFill="1" applyBorder="1" applyAlignment="1">
      <alignment horizontal="center" vertical="center"/>
      <protection/>
    </xf>
    <xf numFmtId="176" fontId="18" fillId="2" borderId="1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7" fontId="12" fillId="0" borderId="3" xfId="0" applyNumberFormat="1" applyFont="1" applyBorder="1" applyAlignment="1">
      <alignment horizontal="center" vertical="center"/>
    </xf>
    <xf numFmtId="187" fontId="12" fillId="0" borderId="1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89" fontId="4" fillId="0" borderId="5" xfId="0" applyNumberFormat="1" applyFont="1" applyFill="1" applyBorder="1" applyAlignment="1" quotePrefix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" fontId="4" fillId="0" borderId="23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176" fontId="29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89" fontId="4" fillId="0" borderId="23" xfId="0" applyNumberFormat="1" applyFont="1" applyFill="1" applyBorder="1" applyAlignment="1" quotePrefix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" fontId="7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6" xfId="0" applyFont="1" applyBorder="1" applyAlignment="1">
      <alignment horizontal="left" vertical="center" indent="1"/>
    </xf>
    <xf numFmtId="176" fontId="18" fillId="3" borderId="2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indent="1"/>
    </xf>
    <xf numFmtId="176" fontId="18" fillId="3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176" fontId="18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176" fontId="5" fillId="0" borderId="33" xfId="21" applyNumberFormat="1" applyFont="1" applyFill="1" applyBorder="1" applyAlignment="1">
      <alignment horizontal="center" vertical="center"/>
      <protection/>
    </xf>
    <xf numFmtId="176" fontId="5" fillId="3" borderId="33" xfId="21" applyNumberFormat="1" applyFont="1" applyFill="1" applyBorder="1" applyAlignment="1">
      <alignment horizontal="center" vertical="center"/>
      <protection/>
    </xf>
    <xf numFmtId="176" fontId="18" fillId="2" borderId="33" xfId="0" applyNumberFormat="1" applyFont="1" applyFill="1" applyBorder="1" applyAlignment="1">
      <alignment horizontal="center" vertical="center"/>
    </xf>
    <xf numFmtId="176" fontId="18" fillId="3" borderId="34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89" fontId="4" fillId="0" borderId="5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 shrinkToFit="1"/>
    </xf>
    <xf numFmtId="176" fontId="18" fillId="0" borderId="5" xfId="0" applyNumberFormat="1" applyFont="1" applyFill="1" applyBorder="1" applyAlignment="1">
      <alignment horizontal="center" vertical="center" shrinkToFit="1"/>
    </xf>
    <xf numFmtId="176" fontId="18" fillId="3" borderId="3" xfId="0" applyNumberFormat="1" applyFont="1" applyFill="1" applyBorder="1" applyAlignment="1">
      <alignment horizontal="center" vertical="center" shrinkToFit="1"/>
    </xf>
    <xf numFmtId="176" fontId="29" fillId="0" borderId="5" xfId="0" applyNumberFormat="1" applyFont="1" applyFill="1" applyBorder="1" applyAlignment="1">
      <alignment horizontal="center" vertical="center" shrinkToFit="1"/>
    </xf>
    <xf numFmtId="176" fontId="18" fillId="3" borderId="6" xfId="0" applyNumberFormat="1" applyFont="1" applyFill="1" applyBorder="1" applyAlignment="1">
      <alignment horizontal="center" vertical="center" shrinkToFit="1"/>
    </xf>
    <xf numFmtId="176" fontId="1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>
      <alignment shrinkToFit="1"/>
    </xf>
    <xf numFmtId="0" fontId="0" fillId="3" borderId="6" xfId="0" applyFill="1" applyBorder="1" applyAlignment="1">
      <alignment shrinkToFi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176" fontId="22" fillId="0" borderId="5" xfId="0" applyNumberFormat="1" applyFont="1" applyFill="1" applyBorder="1" applyAlignment="1">
      <alignment horizontal="center" vertical="center"/>
    </xf>
    <xf numFmtId="176" fontId="22" fillId="3" borderId="14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indent="1"/>
    </xf>
    <xf numFmtId="176" fontId="22" fillId="0" borderId="6" xfId="0" applyNumberFormat="1" applyFont="1" applyFill="1" applyBorder="1" applyAlignment="1">
      <alignment horizontal="center" vertical="center"/>
    </xf>
    <xf numFmtId="176" fontId="22" fillId="3" borderId="22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indent="1"/>
    </xf>
    <xf numFmtId="176" fontId="25" fillId="0" borderId="3" xfId="0" applyNumberFormat="1" applyFont="1" applyFill="1" applyBorder="1" applyAlignment="1">
      <alignment horizontal="center" vertical="center"/>
    </xf>
    <xf numFmtId="176" fontId="22" fillId="3" borderId="19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176" fontId="22" fillId="0" borderId="13" xfId="0" applyNumberFormat="1" applyFont="1" applyFill="1" applyBorder="1" applyAlignment="1">
      <alignment horizontal="center" vertical="center"/>
    </xf>
    <xf numFmtId="176" fontId="22" fillId="3" borderId="25" xfId="0" applyNumberFormat="1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indent="1"/>
    </xf>
    <xf numFmtId="176" fontId="22" fillId="0" borderId="7" xfId="0" applyNumberFormat="1" applyFont="1" applyFill="1" applyBorder="1" applyAlignment="1">
      <alignment horizontal="center" vertical="center"/>
    </xf>
    <xf numFmtId="176" fontId="22" fillId="3" borderId="21" xfId="0" applyNumberFormat="1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center" vertical="center" shrinkToFit="1"/>
    </xf>
    <xf numFmtId="176" fontId="18" fillId="3" borderId="19" xfId="0" applyNumberFormat="1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18" fillId="3" borderId="5" xfId="0" applyNumberFormat="1" applyFont="1" applyFill="1" applyBorder="1" applyAlignment="1">
      <alignment horizontal="center" vertical="center" shrinkToFit="1"/>
    </xf>
    <xf numFmtId="176" fontId="38" fillId="0" borderId="5" xfId="0" applyNumberFormat="1" applyFont="1" applyFill="1" applyBorder="1" applyAlignment="1">
      <alignment horizontal="center" vertical="center" shrinkToFit="1"/>
    </xf>
    <xf numFmtId="176" fontId="18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22" xfId="0" applyNumberFormat="1" applyFont="1" applyFill="1" applyBorder="1" applyAlignment="1">
      <alignment horizontal="center" vertical="center" shrinkToFit="1"/>
    </xf>
    <xf numFmtId="176" fontId="18" fillId="0" borderId="7" xfId="0" applyNumberFormat="1" applyFont="1" applyFill="1" applyBorder="1" applyAlignment="1">
      <alignment horizontal="center" vertical="center" shrinkToFit="1"/>
    </xf>
    <xf numFmtId="176" fontId="27" fillId="0" borderId="5" xfId="0" applyNumberFormat="1" applyFont="1" applyFill="1" applyBorder="1" applyAlignment="1">
      <alignment horizontal="center" vertical="center" shrinkToFit="1"/>
    </xf>
    <xf numFmtId="176" fontId="27" fillId="0" borderId="19" xfId="0" applyNumberFormat="1" applyFont="1" applyFill="1" applyBorder="1" applyAlignment="1">
      <alignment horizontal="center" vertical="center" shrinkToFit="1"/>
    </xf>
    <xf numFmtId="176" fontId="27" fillId="3" borderId="5" xfId="0" applyNumberFormat="1" applyFont="1" applyFill="1" applyBorder="1" applyAlignment="1">
      <alignment horizontal="center" vertical="center" shrinkToFit="1"/>
    </xf>
    <xf numFmtId="176" fontId="27" fillId="3" borderId="19" xfId="0" applyNumberFormat="1" applyFont="1" applyFill="1" applyBorder="1" applyAlignment="1">
      <alignment horizontal="center" vertical="center" shrinkToFit="1"/>
    </xf>
    <xf numFmtId="1" fontId="39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176" fontId="4" fillId="3" borderId="38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189" fontId="4" fillId="0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/>
    </xf>
    <xf numFmtId="176" fontId="5" fillId="0" borderId="39" xfId="21" applyNumberFormat="1" applyFont="1" applyFill="1" applyBorder="1" applyAlignment="1">
      <alignment horizontal="center" vertical="center"/>
      <protection/>
    </xf>
    <xf numFmtId="176" fontId="5" fillId="3" borderId="39" xfId="21" applyNumberFormat="1" applyFont="1" applyFill="1" applyBorder="1" applyAlignment="1">
      <alignment horizontal="center" vertical="center"/>
      <protection/>
    </xf>
    <xf numFmtId="176" fontId="5" fillId="0" borderId="40" xfId="21" applyNumberFormat="1" applyFont="1" applyFill="1" applyBorder="1" applyAlignment="1">
      <alignment horizontal="center" vertical="center"/>
      <protection/>
    </xf>
    <xf numFmtId="176" fontId="5" fillId="3" borderId="40" xfId="21" applyNumberFormat="1" applyFont="1" applyFill="1" applyBorder="1" applyAlignment="1">
      <alignment horizontal="center" vertical="center"/>
      <protection/>
    </xf>
    <xf numFmtId="176" fontId="0" fillId="0" borderId="41" xfId="0" applyNumberFormat="1" applyBorder="1" applyAlignment="1">
      <alignment horizontal="center"/>
    </xf>
    <xf numFmtId="0" fontId="0" fillId="0" borderId="42" xfId="0" applyBorder="1" applyAlignment="1">
      <alignment/>
    </xf>
    <xf numFmtId="0" fontId="4" fillId="3" borderId="3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76" fontId="4" fillId="3" borderId="4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shrinkToFit="1"/>
    </xf>
    <xf numFmtId="189" fontId="4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36" xfId="0" applyBorder="1" applyAlignment="1">
      <alignment shrinkToFit="1"/>
    </xf>
    <xf numFmtId="0" fontId="0" fillId="3" borderId="36" xfId="0" applyFill="1" applyBorder="1" applyAlignment="1">
      <alignment shrinkToFit="1"/>
    </xf>
    <xf numFmtId="0" fontId="4" fillId="3" borderId="44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" fontId="39" fillId="0" borderId="48" xfId="0" applyNumberFormat="1" applyFont="1" applyFill="1" applyBorder="1" applyAlignment="1">
      <alignment horizontal="center" vertical="center"/>
    </xf>
    <xf numFmtId="1" fontId="39" fillId="0" borderId="43" xfId="0" applyNumberFormat="1" applyFont="1" applyFill="1" applyBorder="1" applyAlignment="1">
      <alignment horizontal="center" vertical="center"/>
    </xf>
    <xf numFmtId="1" fontId="40" fillId="0" borderId="46" xfId="0" applyNumberFormat="1" applyFont="1" applyFill="1" applyBorder="1" applyAlignment="1">
      <alignment horizontal="center" vertical="center"/>
    </xf>
    <xf numFmtId="1" fontId="40" fillId="0" borderId="60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60" xfId="0" applyNumberFormat="1" applyFont="1" applyFill="1" applyBorder="1" applyAlignment="1">
      <alignment horizontal="center" vertical="center"/>
    </xf>
    <xf numFmtId="176" fontId="39" fillId="0" borderId="61" xfId="0" applyNumberFormat="1" applyFont="1" applyFill="1" applyBorder="1" applyAlignment="1">
      <alignment horizontal="center" vertical="center"/>
    </xf>
    <xf numFmtId="176" fontId="39" fillId="0" borderId="62" xfId="0" applyNumberFormat="1" applyFont="1" applyFill="1" applyBorder="1" applyAlignment="1">
      <alignment horizontal="center" vertical="center"/>
    </xf>
    <xf numFmtId="176" fontId="39" fillId="0" borderId="48" xfId="0" applyNumberFormat="1" applyFont="1" applyFill="1" applyBorder="1" applyAlignment="1">
      <alignment horizontal="center" vertical="center"/>
    </xf>
    <xf numFmtId="176" fontId="39" fillId="0" borderId="43" xfId="0" applyNumberFormat="1" applyFont="1" applyFill="1" applyBorder="1" applyAlignment="1">
      <alignment horizontal="center" vertical="center"/>
    </xf>
    <xf numFmtId="1" fontId="39" fillId="0" borderId="25" xfId="0" applyNumberFormat="1" applyFont="1" applyFill="1" applyBorder="1" applyAlignment="1">
      <alignment horizontal="center" vertical="center"/>
    </xf>
    <xf numFmtId="1" fontId="39" fillId="0" borderId="19" xfId="0" applyNumberFormat="1" applyFont="1" applyFill="1" applyBorder="1" applyAlignment="1">
      <alignment horizontal="center" vertical="center"/>
    </xf>
    <xf numFmtId="176" fontId="40" fillId="0" borderId="48" xfId="0" applyNumberFormat="1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176" fontId="40" fillId="0" borderId="4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76" fontId="39" fillId="0" borderId="37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76" fontId="39" fillId="0" borderId="67" xfId="0" applyNumberFormat="1" applyFont="1" applyFill="1" applyBorder="1" applyAlignment="1">
      <alignment horizontal="center" vertical="center"/>
    </xf>
    <xf numFmtId="176" fontId="39" fillId="0" borderId="6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1" fontId="39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176" fontId="11" fillId="0" borderId="48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40" fillId="0" borderId="3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7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7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80" fontId="4" fillId="0" borderId="2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176" fontId="12" fillId="4" borderId="80" xfId="0" applyNumberFormat="1" applyFont="1" applyFill="1" applyBorder="1" applyAlignment="1">
      <alignment horizontal="center" vertical="center"/>
    </xf>
    <xf numFmtId="176" fontId="12" fillId="4" borderId="81" xfId="0" applyNumberFormat="1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2" xfId="21"/>
    <cellStyle name="Hyperlink" xfId="22"/>
  </cellStyles>
  <dxfs count="3">
    <dxf>
      <font>
        <color rgb="FFFF0000"/>
      </font>
      <border/>
    </dxf>
    <dxf>
      <font>
        <b val="0"/>
        <i/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당해,전년,지난분기 소음도</a:t>
            </a:r>
          </a:p>
        </c:rich>
      </c:tx>
      <c:layout/>
      <c:spPr>
        <a:gradFill rotWithShape="1">
          <a:gsLst>
            <a:gs pos="0">
              <a:srgbClr val="CCFFCC"/>
            </a:gs>
            <a:gs pos="100000">
              <a:srgbClr val="00FF00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'지점별 당해,전년, 지난분기'!$B$4:$B$5</c:f>
              <c:strCache>
                <c:ptCount val="1"/>
                <c:pt idx="0">
                  <c:v>당해분기('08.2/4) 낮평균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'지점별 당해,전년, 지난분기'!$C$4:$C$5</c:f>
              <c:strCache>
                <c:ptCount val="1"/>
                <c:pt idx="0">
                  <c:v>당해분기('08.2/4) 밤평균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'지점별 당해,전년, 지난분기'!$D$4:$D$5</c:f>
              <c:strCache>
                <c:ptCount val="1"/>
                <c:pt idx="0">
                  <c:v>지난분기('08.1/4) 낮평균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지난분기'!$D$6:$D$40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'지점별 당해,전년, 지난분기'!$E$4:$E$5</c:f>
              <c:strCache>
                <c:ptCount val="1"/>
                <c:pt idx="0">
                  <c:v>지난분기('08.1/4) 밤평균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지난분기'!$E$6:$E$40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'지점별 당해,전년, 지난분기'!$F$4:$F$5</c:f>
              <c:strCache>
                <c:ptCount val="1"/>
                <c:pt idx="0">
                  <c:v>전년분기('07.2/4) 낮평균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지난분기'!$F$6:$F$40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'지점별 당해,전년, 지난분기'!$G$4:$G$5</c:f>
              <c:strCache>
                <c:ptCount val="1"/>
                <c:pt idx="0">
                  <c:v>전년분기('07.2/4) 밤평균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/>
            </c:strRef>
          </c:cat>
          <c:val>
            <c:numRef>
              <c:f>'지점별 당해,전년, 지난분기'!$G$6:$G$30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0344810"/>
        <c:axId val="50450107"/>
      </c:line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0450107"/>
        <c:crosses val="autoZero"/>
        <c:auto val="1"/>
        <c:lblOffset val="80"/>
        <c:noMultiLvlLbl val="0"/>
      </c:catAx>
      <c:valAx>
        <c:axId val="5045010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돋움"/>
                    <a:ea typeface="돋움"/>
                    <a:cs typeface="돋움"/>
                  </a:rPr>
                  <a:t>dB(A)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돋움"/>
                <a:ea typeface="돋움"/>
                <a:cs typeface="돋움"/>
              </a:defRPr>
            </a:pPr>
          </a:p>
        </c:txPr>
        <c:crossAx val="503448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25400">
      <a:solidFill/>
    </a:ln>
  </c:spPr>
  <c:txPr>
    <a:bodyPr vert="horz" rot="0"/>
    <a:lstStyle/>
    <a:p>
      <a:pPr>
        <a:defRPr lang="en-US" cap="none" sz="1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지점별 당해, 전년, 지난 분기 평균소음도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225"/>
          <c:w val="0.95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'지점별 당해,전년, 지난분기'!$B$4:$B$5</c:f>
              <c:strCache>
                <c:ptCount val="1"/>
                <c:pt idx="0">
                  <c:v>당해분기('08.2/4) 낮평균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지난분기'!$B$6:$B$40</c:f>
              <c:numCache>
                <c:ptCount val="35"/>
                <c:pt idx="0">
                  <c:v>53</c:v>
                </c:pt>
                <c:pt idx="1">
                  <c:v>52</c:v>
                </c:pt>
                <c:pt idx="2">
                  <c:v>56</c:v>
                </c:pt>
                <c:pt idx="3">
                  <c:v>67</c:v>
                </c:pt>
                <c:pt idx="4">
                  <c:v>61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62</c:v>
                </c:pt>
                <c:pt idx="9">
                  <c:v>65</c:v>
                </c:pt>
                <c:pt idx="10">
                  <c:v>55</c:v>
                </c:pt>
                <c:pt idx="11">
                  <c:v>53</c:v>
                </c:pt>
                <c:pt idx="12">
                  <c:v>54</c:v>
                </c:pt>
                <c:pt idx="13">
                  <c:v>68</c:v>
                </c:pt>
                <c:pt idx="14">
                  <c:v>68</c:v>
                </c:pt>
                <c:pt idx="15">
                  <c:v>59</c:v>
                </c:pt>
                <c:pt idx="16">
                  <c:v>58</c:v>
                </c:pt>
                <c:pt idx="17">
                  <c:v>52</c:v>
                </c:pt>
                <c:pt idx="18">
                  <c:v>68</c:v>
                </c:pt>
                <c:pt idx="19">
                  <c:v>68</c:v>
                </c:pt>
                <c:pt idx="20">
                  <c:v>55</c:v>
                </c:pt>
                <c:pt idx="21">
                  <c:v>53</c:v>
                </c:pt>
                <c:pt idx="22">
                  <c:v>57</c:v>
                </c:pt>
                <c:pt idx="23">
                  <c:v>70</c:v>
                </c:pt>
                <c:pt idx="24">
                  <c:v>70</c:v>
                </c:pt>
                <c:pt idx="25">
                  <c:v>55</c:v>
                </c:pt>
                <c:pt idx="26">
                  <c:v>58</c:v>
                </c:pt>
                <c:pt idx="27">
                  <c:v>58</c:v>
                </c:pt>
                <c:pt idx="28">
                  <c:v>68</c:v>
                </c:pt>
                <c:pt idx="29">
                  <c:v>68</c:v>
                </c:pt>
                <c:pt idx="30">
                  <c:v>62</c:v>
                </c:pt>
                <c:pt idx="31">
                  <c:v>61</c:v>
                </c:pt>
                <c:pt idx="32">
                  <c:v>62</c:v>
                </c:pt>
                <c:pt idx="33">
                  <c:v>71</c:v>
                </c:pt>
                <c:pt idx="3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'지점별 당해,전년, 지난분기'!$C$4:$C$5</c:f>
              <c:strCache>
                <c:ptCount val="1"/>
                <c:pt idx="0">
                  <c:v>당해분기('08.2/4) 밤평균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지난분기'!$C$6:$C$40</c:f>
              <c:numCache>
                <c:ptCount val="35"/>
                <c:pt idx="0">
                  <c:v>47</c:v>
                </c:pt>
                <c:pt idx="1">
                  <c:v>47</c:v>
                </c:pt>
                <c:pt idx="2">
                  <c:v>52</c:v>
                </c:pt>
                <c:pt idx="3">
                  <c:v>62</c:v>
                </c:pt>
                <c:pt idx="4">
                  <c:v>56</c:v>
                </c:pt>
                <c:pt idx="5">
                  <c:v>49</c:v>
                </c:pt>
                <c:pt idx="6">
                  <c:v>44</c:v>
                </c:pt>
                <c:pt idx="7">
                  <c:v>50</c:v>
                </c:pt>
                <c:pt idx="8">
                  <c:v>56</c:v>
                </c:pt>
                <c:pt idx="9">
                  <c:v>60</c:v>
                </c:pt>
                <c:pt idx="10">
                  <c:v>53</c:v>
                </c:pt>
                <c:pt idx="11">
                  <c:v>48</c:v>
                </c:pt>
                <c:pt idx="12">
                  <c:v>47</c:v>
                </c:pt>
                <c:pt idx="13">
                  <c:v>64</c:v>
                </c:pt>
                <c:pt idx="14">
                  <c:v>65</c:v>
                </c:pt>
                <c:pt idx="15">
                  <c:v>53</c:v>
                </c:pt>
                <c:pt idx="16">
                  <c:v>53</c:v>
                </c:pt>
                <c:pt idx="17">
                  <c:v>49</c:v>
                </c:pt>
                <c:pt idx="18">
                  <c:v>64</c:v>
                </c:pt>
                <c:pt idx="19">
                  <c:v>63</c:v>
                </c:pt>
                <c:pt idx="20">
                  <c:v>51</c:v>
                </c:pt>
                <c:pt idx="21">
                  <c:v>51</c:v>
                </c:pt>
                <c:pt idx="22">
                  <c:v>53</c:v>
                </c:pt>
                <c:pt idx="23">
                  <c:v>67</c:v>
                </c:pt>
                <c:pt idx="24">
                  <c:v>67</c:v>
                </c:pt>
                <c:pt idx="25">
                  <c:v>50</c:v>
                </c:pt>
                <c:pt idx="26">
                  <c:v>57</c:v>
                </c:pt>
                <c:pt idx="27">
                  <c:v>53</c:v>
                </c:pt>
                <c:pt idx="28">
                  <c:v>66</c:v>
                </c:pt>
                <c:pt idx="29">
                  <c:v>67</c:v>
                </c:pt>
                <c:pt idx="30">
                  <c:v>48</c:v>
                </c:pt>
                <c:pt idx="31">
                  <c:v>47</c:v>
                </c:pt>
                <c:pt idx="32">
                  <c:v>47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</c:ser>
        <c:ser>
          <c:idx val="2"/>
          <c:order val="2"/>
          <c:tx>
            <c:strRef>
              <c:f>'지점별 당해,전년, 지난분기'!$D$4:$D$5</c:f>
              <c:strCache>
                <c:ptCount val="1"/>
                <c:pt idx="0">
                  <c:v>지난분기('08.1/4) 낮평균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지난분기'!$D$6:$D$40</c:f>
              <c:numCache>
                <c:ptCount val="35"/>
                <c:pt idx="0">
                  <c:v>51</c:v>
                </c:pt>
                <c:pt idx="1">
                  <c:v>54</c:v>
                </c:pt>
                <c:pt idx="2">
                  <c:v>55</c:v>
                </c:pt>
                <c:pt idx="3">
                  <c:v>67</c:v>
                </c:pt>
                <c:pt idx="4">
                  <c:v>61</c:v>
                </c:pt>
                <c:pt idx="5">
                  <c:v>55</c:v>
                </c:pt>
                <c:pt idx="6">
                  <c:v>54</c:v>
                </c:pt>
                <c:pt idx="7">
                  <c:v>57</c:v>
                </c:pt>
                <c:pt idx="8">
                  <c:v>62</c:v>
                </c:pt>
                <c:pt idx="9">
                  <c:v>65</c:v>
                </c:pt>
                <c:pt idx="10">
                  <c:v>55</c:v>
                </c:pt>
                <c:pt idx="11">
                  <c:v>52</c:v>
                </c:pt>
                <c:pt idx="12">
                  <c:v>53</c:v>
                </c:pt>
                <c:pt idx="13">
                  <c:v>68</c:v>
                </c:pt>
                <c:pt idx="14">
                  <c:v>68</c:v>
                </c:pt>
                <c:pt idx="15">
                  <c:v>59</c:v>
                </c:pt>
                <c:pt idx="16">
                  <c:v>59</c:v>
                </c:pt>
                <c:pt idx="17">
                  <c:v>54</c:v>
                </c:pt>
                <c:pt idx="18">
                  <c:v>68</c:v>
                </c:pt>
                <c:pt idx="19">
                  <c:v>67</c:v>
                </c:pt>
                <c:pt idx="20">
                  <c:v>55</c:v>
                </c:pt>
                <c:pt idx="21">
                  <c:v>54</c:v>
                </c:pt>
                <c:pt idx="22">
                  <c:v>58</c:v>
                </c:pt>
                <c:pt idx="23">
                  <c:v>70</c:v>
                </c:pt>
                <c:pt idx="24">
                  <c:v>70</c:v>
                </c:pt>
                <c:pt idx="25">
                  <c:v>53</c:v>
                </c:pt>
                <c:pt idx="26">
                  <c:v>58</c:v>
                </c:pt>
                <c:pt idx="27">
                  <c:v>57</c:v>
                </c:pt>
                <c:pt idx="28">
                  <c:v>68</c:v>
                </c:pt>
                <c:pt idx="29">
                  <c:v>69</c:v>
                </c:pt>
                <c:pt idx="30">
                  <c:v>61</c:v>
                </c:pt>
                <c:pt idx="31">
                  <c:v>63</c:v>
                </c:pt>
                <c:pt idx="32">
                  <c:v>62</c:v>
                </c:pt>
                <c:pt idx="33">
                  <c:v>71</c:v>
                </c:pt>
                <c:pt idx="34">
                  <c:v>70</c:v>
                </c:pt>
              </c:numCache>
            </c:numRef>
          </c:val>
        </c:ser>
        <c:ser>
          <c:idx val="3"/>
          <c:order val="3"/>
          <c:tx>
            <c:strRef>
              <c:f>'지점별 당해,전년, 지난분기'!$E$4:$E$5</c:f>
              <c:strCache>
                <c:ptCount val="1"/>
                <c:pt idx="0">
                  <c:v>지난분기('08.1/4) 밤평균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지난분기'!$E$6:$E$40</c:f>
              <c:numCache>
                <c:ptCount val="35"/>
                <c:pt idx="0">
                  <c:v>49</c:v>
                </c:pt>
                <c:pt idx="1">
                  <c:v>48</c:v>
                </c:pt>
                <c:pt idx="2">
                  <c:v>53</c:v>
                </c:pt>
                <c:pt idx="3">
                  <c:v>59</c:v>
                </c:pt>
                <c:pt idx="4">
                  <c:v>58</c:v>
                </c:pt>
                <c:pt idx="5">
                  <c:v>45</c:v>
                </c:pt>
                <c:pt idx="6">
                  <c:v>46</c:v>
                </c:pt>
                <c:pt idx="7">
                  <c:v>49</c:v>
                </c:pt>
                <c:pt idx="8">
                  <c:v>57</c:v>
                </c:pt>
                <c:pt idx="9">
                  <c:v>58</c:v>
                </c:pt>
                <c:pt idx="10">
                  <c:v>51</c:v>
                </c:pt>
                <c:pt idx="11">
                  <c:v>50</c:v>
                </c:pt>
                <c:pt idx="12">
                  <c:v>49</c:v>
                </c:pt>
                <c:pt idx="13">
                  <c:v>65</c:v>
                </c:pt>
                <c:pt idx="14">
                  <c:v>66</c:v>
                </c:pt>
                <c:pt idx="15">
                  <c:v>55</c:v>
                </c:pt>
                <c:pt idx="16">
                  <c:v>54</c:v>
                </c:pt>
                <c:pt idx="17">
                  <c:v>52</c:v>
                </c:pt>
                <c:pt idx="18">
                  <c:v>65</c:v>
                </c:pt>
                <c:pt idx="19">
                  <c:v>64</c:v>
                </c:pt>
                <c:pt idx="20">
                  <c:v>53</c:v>
                </c:pt>
                <c:pt idx="21">
                  <c:v>53</c:v>
                </c:pt>
                <c:pt idx="22">
                  <c:v>54</c:v>
                </c:pt>
                <c:pt idx="23">
                  <c:v>68</c:v>
                </c:pt>
                <c:pt idx="24">
                  <c:v>69</c:v>
                </c:pt>
                <c:pt idx="25">
                  <c:v>51</c:v>
                </c:pt>
                <c:pt idx="26">
                  <c:v>52</c:v>
                </c:pt>
                <c:pt idx="27">
                  <c:v>52</c:v>
                </c:pt>
                <c:pt idx="28">
                  <c:v>66</c:v>
                </c:pt>
                <c:pt idx="29">
                  <c:v>66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68</c:v>
                </c:pt>
                <c:pt idx="34">
                  <c:v>69</c:v>
                </c:pt>
              </c:numCache>
            </c:numRef>
          </c:val>
        </c:ser>
        <c:ser>
          <c:idx val="4"/>
          <c:order val="4"/>
          <c:tx>
            <c:strRef>
              <c:f>'지점별 당해,전년, 지난분기'!$F$4:$F$5</c:f>
              <c:strCache>
                <c:ptCount val="1"/>
                <c:pt idx="0">
                  <c:v>전년분기('07.2/4) 낮평균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지난분기'!$F$6:$F$40</c:f>
              <c:numCache>
                <c:ptCount val="35"/>
                <c:pt idx="0">
                  <c:v>51</c:v>
                </c:pt>
                <c:pt idx="1">
                  <c:v>53</c:v>
                </c:pt>
                <c:pt idx="2">
                  <c:v>54</c:v>
                </c:pt>
                <c:pt idx="3">
                  <c:v>67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57</c:v>
                </c:pt>
                <c:pt idx="8">
                  <c:v>62</c:v>
                </c:pt>
                <c:pt idx="9">
                  <c:v>66</c:v>
                </c:pt>
                <c:pt idx="10">
                  <c:v>54</c:v>
                </c:pt>
                <c:pt idx="11">
                  <c:v>50</c:v>
                </c:pt>
                <c:pt idx="12">
                  <c:v>51</c:v>
                </c:pt>
                <c:pt idx="13">
                  <c:v>68</c:v>
                </c:pt>
                <c:pt idx="14">
                  <c:v>67</c:v>
                </c:pt>
                <c:pt idx="15">
                  <c:v>57</c:v>
                </c:pt>
                <c:pt idx="16">
                  <c:v>59</c:v>
                </c:pt>
                <c:pt idx="17">
                  <c:v>0</c:v>
                </c:pt>
                <c:pt idx="18">
                  <c:v>67</c:v>
                </c:pt>
                <c:pt idx="19">
                  <c:v>66</c:v>
                </c:pt>
                <c:pt idx="20">
                  <c:v>56</c:v>
                </c:pt>
                <c:pt idx="21">
                  <c:v>54</c:v>
                </c:pt>
                <c:pt idx="22">
                  <c:v>55</c:v>
                </c:pt>
                <c:pt idx="23">
                  <c:v>70</c:v>
                </c:pt>
                <c:pt idx="24">
                  <c:v>70</c:v>
                </c:pt>
                <c:pt idx="25">
                  <c:v>54</c:v>
                </c:pt>
                <c:pt idx="26">
                  <c:v>61</c:v>
                </c:pt>
                <c:pt idx="27">
                  <c:v>55</c:v>
                </c:pt>
                <c:pt idx="28">
                  <c:v>67</c:v>
                </c:pt>
                <c:pt idx="29">
                  <c:v>67</c:v>
                </c:pt>
                <c:pt idx="30">
                  <c:v>62</c:v>
                </c:pt>
                <c:pt idx="31">
                  <c:v>63</c:v>
                </c:pt>
                <c:pt idx="32">
                  <c:v>62</c:v>
                </c:pt>
                <c:pt idx="33">
                  <c:v>71</c:v>
                </c:pt>
                <c:pt idx="34">
                  <c:v>70.4</c:v>
                </c:pt>
              </c:numCache>
            </c:numRef>
          </c:val>
        </c:ser>
        <c:ser>
          <c:idx val="5"/>
          <c:order val="5"/>
          <c:tx>
            <c:strRef>
              <c:f>'지점별 당해,전년, 지난분기'!$G$4:$G$5</c:f>
              <c:strCache>
                <c:ptCount val="1"/>
                <c:pt idx="0">
                  <c:v>전년분기('07.2/4) 밤평균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'지점별 당해,전년, 지난분기'!$A$6:$A$40</c:f>
              <c:strCache>
                <c:ptCount val="35"/>
                <c:pt idx="0">
                  <c:v>동상앞</c:v>
                </c:pt>
                <c:pt idx="1">
                  <c:v>도서관앞</c:v>
                </c:pt>
                <c:pt idx="2">
                  <c:v>충혼탑입구</c:v>
                </c:pt>
                <c:pt idx="3">
                  <c:v>방범초소앞</c:v>
                </c:pt>
                <c:pt idx="4">
                  <c:v>시민헌장앞</c:v>
                </c:pt>
                <c:pt idx="5">
                  <c:v>건강탕앞</c:v>
                </c:pt>
                <c:pt idx="6">
                  <c:v>고원아파트1동107호앞</c:v>
                </c:pt>
                <c:pt idx="7">
                  <c:v>하성약국옆</c:v>
                </c:pt>
                <c:pt idx="8">
                  <c:v>개금2동새마을금고앞</c:v>
                </c:pt>
                <c:pt idx="9">
                  <c:v>주원초등학교옆</c:v>
                </c:pt>
                <c:pt idx="10">
                  <c:v>제3기장교회앞</c:v>
                </c:pt>
                <c:pt idx="11">
                  <c:v>유한빌라앞</c:v>
                </c:pt>
                <c:pt idx="12">
                  <c:v>대진아파트앞</c:v>
                </c:pt>
                <c:pt idx="13">
                  <c:v>제비표페인트앞</c:v>
                </c:pt>
                <c:pt idx="14">
                  <c:v>기아자동차앞</c:v>
                </c:pt>
                <c:pt idx="15">
                  <c:v>묵자골감자탕앞</c:v>
                </c:pt>
                <c:pt idx="16">
                  <c:v>하나메기탕앞</c:v>
                </c:pt>
                <c:pt idx="17">
                  <c:v>사직주공안</c:v>
                </c:pt>
                <c:pt idx="18">
                  <c:v>사직로얄A입구건너편</c:v>
                </c:pt>
                <c:pt idx="19">
                  <c:v>종로엠스쿨앞</c:v>
                </c:pt>
                <c:pt idx="20">
                  <c:v>14동시영APT뒤</c:v>
                </c:pt>
                <c:pt idx="21">
                  <c:v>시영A5동5~6라인앞</c:v>
                </c:pt>
                <c:pt idx="22">
                  <c:v>미진골든빌라앞</c:v>
                </c:pt>
                <c:pt idx="23">
                  <c:v>1동시영APT입구</c:v>
                </c:pt>
                <c:pt idx="24">
                  <c:v>13동시영APT입구</c:v>
                </c:pt>
                <c:pt idx="25">
                  <c:v>메리어트호텔뒤</c:v>
                </c:pt>
                <c:pt idx="26">
                  <c:v>파라다이스호텔옆</c:v>
                </c:pt>
                <c:pt idx="27">
                  <c:v>파라다이스호텔입구</c:v>
                </c:pt>
                <c:pt idx="28">
                  <c:v>메리어트호텔좌</c:v>
                </c:pt>
                <c:pt idx="29">
                  <c:v>메리어트호텔우</c:v>
                </c:pt>
                <c:pt idx="30">
                  <c:v>하나전기앞</c:v>
                </c:pt>
                <c:pt idx="31">
                  <c:v>㈜태림오릭스옆</c:v>
                </c:pt>
                <c:pt idx="32">
                  <c:v>신한아파트앞</c:v>
                </c:pt>
                <c:pt idx="33">
                  <c:v>카이스트안경앞</c:v>
                </c:pt>
                <c:pt idx="34">
                  <c:v>남항새마을금고</c:v>
                </c:pt>
              </c:strCache>
            </c:strRef>
          </c:cat>
          <c:val>
            <c:numRef>
              <c:f>'지점별 당해,전년, 지난분기'!$G$6:$G$40</c:f>
              <c:numCache>
                <c:ptCount val="35"/>
                <c:pt idx="0">
                  <c:v>48</c:v>
                </c:pt>
                <c:pt idx="1">
                  <c:v>47</c:v>
                </c:pt>
                <c:pt idx="2">
                  <c:v>51</c:v>
                </c:pt>
                <c:pt idx="3">
                  <c:v>56</c:v>
                </c:pt>
                <c:pt idx="4">
                  <c:v>56</c:v>
                </c:pt>
                <c:pt idx="5">
                  <c:v>45</c:v>
                </c:pt>
                <c:pt idx="6">
                  <c:v>46</c:v>
                </c:pt>
                <c:pt idx="7">
                  <c:v>50</c:v>
                </c:pt>
                <c:pt idx="8">
                  <c:v>54</c:v>
                </c:pt>
                <c:pt idx="9">
                  <c:v>60</c:v>
                </c:pt>
                <c:pt idx="10">
                  <c:v>53</c:v>
                </c:pt>
                <c:pt idx="11">
                  <c:v>48</c:v>
                </c:pt>
                <c:pt idx="12">
                  <c:v>45</c:v>
                </c:pt>
                <c:pt idx="13">
                  <c:v>64</c:v>
                </c:pt>
                <c:pt idx="14">
                  <c:v>67</c:v>
                </c:pt>
                <c:pt idx="15">
                  <c:v>54</c:v>
                </c:pt>
                <c:pt idx="16">
                  <c:v>53</c:v>
                </c:pt>
                <c:pt idx="18">
                  <c:v>65</c:v>
                </c:pt>
                <c:pt idx="19">
                  <c:v>65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66</c:v>
                </c:pt>
                <c:pt idx="24">
                  <c:v>68</c:v>
                </c:pt>
                <c:pt idx="25">
                  <c:v>50</c:v>
                </c:pt>
                <c:pt idx="26">
                  <c:v>55</c:v>
                </c:pt>
                <c:pt idx="27">
                  <c:v>52</c:v>
                </c:pt>
                <c:pt idx="28">
                  <c:v>67</c:v>
                </c:pt>
                <c:pt idx="29">
                  <c:v>65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70</c:v>
                </c:pt>
                <c:pt idx="34">
                  <c:v>70</c:v>
                </c:pt>
              </c:numCache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돋움"/>
                <a:ea typeface="돋움"/>
                <a:cs typeface="돋움"/>
              </a:defRPr>
            </a:pPr>
          </a:p>
        </c:txPr>
        <c:crossAx val="59926837"/>
        <c:crosses val="autoZero"/>
        <c:auto val="1"/>
        <c:lblOffset val="80"/>
        <c:noMultiLvlLbl val="0"/>
      </c:catAx>
      <c:valAx>
        <c:axId val="59926837"/>
        <c:scaling>
          <c:orientation val="minMax"/>
          <c:max val="7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돋움"/>
                    <a:ea typeface="돋움"/>
                    <a:cs typeface="돋움"/>
                  </a:rPr>
                  <a:t>소음도[Leq  dB(A)]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돋움"/>
                <a:ea typeface="돋움"/>
                <a:cs typeface="돋움"/>
              </a:defRPr>
            </a:pPr>
          </a:p>
        </c:txPr>
        <c:crossAx val="5139778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9605"/>
          <c:w val="0.83875"/>
          <c:h val="0.02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돋움"/>
          <a:ea typeface="돋움"/>
          <a:cs typeface="돋움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64" right="0.62" top="0.78" bottom="0.82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638175</xdr:colOff>
      <xdr:row>40</xdr:row>
      <xdr:rowOff>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85629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6191250" y="600075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6086475"/>
    <xdr:graphicFrame>
      <xdr:nvGraphicFramePr>
        <xdr:cNvPr id="1" name="Shape 1025"/>
        <xdr:cNvGraphicFramePr/>
      </xdr:nvGraphicFramePr>
      <xdr:xfrm>
        <a:off x="0" y="0"/>
        <a:ext cx="9525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3">
      <selection activeCell="A26" sqref="A26:J26"/>
    </sheetView>
  </sheetViews>
  <sheetFormatPr defaultColWidth="8.88671875" defaultRowHeight="13.5"/>
  <cols>
    <col min="1" max="1" width="10.3359375" style="0" customWidth="1"/>
    <col min="2" max="2" width="12.99609375" style="0" customWidth="1"/>
    <col min="3" max="6" width="6.77734375" style="0" customWidth="1"/>
    <col min="7" max="8" width="6.3359375" style="0" customWidth="1"/>
    <col min="9" max="9" width="6.10546875" style="0" customWidth="1"/>
    <col min="10" max="10" width="7.6640625" style="0" customWidth="1"/>
  </cols>
  <sheetData>
    <row r="1" spans="1:10" ht="25.5">
      <c r="A1" s="270" t="s">
        <v>88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4.25">
      <c r="A2" s="271" t="s">
        <v>229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4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0.25">
      <c r="A4" s="272" t="s">
        <v>189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4.25" thickBot="1">
      <c r="A5" s="3"/>
      <c r="B5" s="3"/>
      <c r="C5" s="3"/>
      <c r="D5" s="3"/>
      <c r="E5" s="3"/>
      <c r="F5" s="3"/>
      <c r="G5" s="3"/>
      <c r="H5" s="3"/>
      <c r="I5" s="255" t="s">
        <v>89</v>
      </c>
      <c r="J5" s="255"/>
    </row>
    <row r="6" spans="1:10" ht="15" customHeight="1">
      <c r="A6" s="261" t="s">
        <v>90</v>
      </c>
      <c r="B6" s="256" t="s">
        <v>91</v>
      </c>
      <c r="C6" s="253" t="s">
        <v>124</v>
      </c>
      <c r="D6" s="253"/>
      <c r="E6" s="256" t="s">
        <v>92</v>
      </c>
      <c r="F6" s="256"/>
      <c r="G6" s="256" t="s">
        <v>191</v>
      </c>
      <c r="H6" s="256"/>
      <c r="I6" s="256" t="s">
        <v>93</v>
      </c>
      <c r="J6" s="250"/>
    </row>
    <row r="7" spans="1:10" ht="15" customHeight="1" thickBot="1">
      <c r="A7" s="263"/>
      <c r="B7" s="257"/>
      <c r="C7" s="57" t="s">
        <v>125</v>
      </c>
      <c r="D7" s="57" t="s">
        <v>126</v>
      </c>
      <c r="E7" s="25" t="s">
        <v>94</v>
      </c>
      <c r="F7" s="25" t="s">
        <v>95</v>
      </c>
      <c r="G7" s="25" t="s">
        <v>94</v>
      </c>
      <c r="H7" s="25" t="s">
        <v>95</v>
      </c>
      <c r="I7" s="25" t="s">
        <v>94</v>
      </c>
      <c r="J7" s="26" t="s">
        <v>95</v>
      </c>
    </row>
    <row r="8" spans="1:10" ht="17.25" customHeight="1" thickTop="1">
      <c r="A8" s="258" t="s">
        <v>96</v>
      </c>
      <c r="B8" s="21" t="s">
        <v>97</v>
      </c>
      <c r="C8" s="58">
        <v>50</v>
      </c>
      <c r="D8" s="58">
        <v>40</v>
      </c>
      <c r="E8" s="94">
        <f>'4. 지역별'!E7:F7</f>
        <v>55</v>
      </c>
      <c r="F8" s="94">
        <f>'4. 지역별'!G7</f>
        <v>49</v>
      </c>
      <c r="G8" s="94">
        <v>55.5</v>
      </c>
      <c r="H8" s="94">
        <v>48.5</v>
      </c>
      <c r="I8" s="225">
        <v>54</v>
      </c>
      <c r="J8" s="224">
        <v>49</v>
      </c>
    </row>
    <row r="9" spans="1:10" ht="15" customHeight="1">
      <c r="A9" s="262"/>
      <c r="B9" s="14" t="s">
        <v>98</v>
      </c>
      <c r="C9" s="59">
        <v>55</v>
      </c>
      <c r="D9" s="59">
        <v>45</v>
      </c>
      <c r="E9" s="95">
        <f>'4. 지역별'!E11:F11</f>
        <v>55</v>
      </c>
      <c r="F9" s="95">
        <f>'4. 지역별'!G11</f>
        <v>51</v>
      </c>
      <c r="G9" s="95">
        <v>54.666666666666664</v>
      </c>
      <c r="H9" s="95">
        <v>51</v>
      </c>
      <c r="I9" s="226">
        <v>55</v>
      </c>
      <c r="J9" s="95">
        <v>52</v>
      </c>
    </row>
    <row r="10" spans="1:10" ht="15" customHeight="1">
      <c r="A10" s="262"/>
      <c r="B10" s="14" t="s">
        <v>99</v>
      </c>
      <c r="C10" s="59">
        <v>65</v>
      </c>
      <c r="D10" s="59">
        <v>55</v>
      </c>
      <c r="E10" s="95">
        <f>'4. 지역별'!E14:F14</f>
        <v>59</v>
      </c>
      <c r="F10" s="95">
        <f>'4. 지역별'!G14</f>
        <v>48</v>
      </c>
      <c r="G10" s="95">
        <v>59</v>
      </c>
      <c r="H10" s="95">
        <v>50</v>
      </c>
      <c r="I10" s="226">
        <v>59</v>
      </c>
      <c r="J10" s="95">
        <v>50</v>
      </c>
    </row>
    <row r="11" spans="1:10" ht="15" customHeight="1">
      <c r="A11" s="259" t="s">
        <v>100</v>
      </c>
      <c r="B11" s="14" t="s">
        <v>101</v>
      </c>
      <c r="C11" s="59">
        <v>65</v>
      </c>
      <c r="D11" s="59">
        <v>55</v>
      </c>
      <c r="E11" s="95">
        <f>'4. 지역별'!E20:F20</f>
        <v>66.6</v>
      </c>
      <c r="F11" s="95">
        <f>'4. 지역별'!G20</f>
        <v>62.6</v>
      </c>
      <c r="G11" s="95">
        <v>65.8</v>
      </c>
      <c r="H11" s="95">
        <v>62.4</v>
      </c>
      <c r="I11" s="227">
        <v>66</v>
      </c>
      <c r="J11" s="95">
        <v>63</v>
      </c>
    </row>
    <row r="12" spans="1:10" ht="15" customHeight="1" thickBot="1">
      <c r="A12" s="265"/>
      <c r="B12" s="15" t="s">
        <v>99</v>
      </c>
      <c r="C12" s="60">
        <v>70</v>
      </c>
      <c r="D12" s="60">
        <v>60</v>
      </c>
      <c r="E12" s="93">
        <f>'4. 지역별'!E23</f>
        <v>69</v>
      </c>
      <c r="F12" s="93">
        <f>'4. 지역별'!G23</f>
        <v>66.5</v>
      </c>
      <c r="G12" s="93">
        <v>68.5</v>
      </c>
      <c r="H12" s="93">
        <v>67</v>
      </c>
      <c r="I12" s="228">
        <v>70</v>
      </c>
      <c r="J12" s="93">
        <v>68</v>
      </c>
    </row>
    <row r="13" spans="1:10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customHeight="1">
      <c r="A14" s="273" t="s">
        <v>102</v>
      </c>
      <c r="B14" s="273"/>
      <c r="C14" s="273"/>
      <c r="D14" s="273"/>
      <c r="E14" s="273"/>
      <c r="F14" s="273"/>
      <c r="G14" s="273"/>
      <c r="H14" s="273"/>
      <c r="I14" s="273"/>
      <c r="J14" s="273"/>
    </row>
    <row r="15" spans="1:10" ht="1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>
      <c r="A16" s="261" t="s">
        <v>103</v>
      </c>
      <c r="B16" s="256" t="s">
        <v>104</v>
      </c>
      <c r="C16" s="267" t="s">
        <v>132</v>
      </c>
      <c r="D16" s="268"/>
      <c r="E16" s="268"/>
      <c r="F16" s="269"/>
      <c r="G16" s="251" t="s">
        <v>127</v>
      </c>
      <c r="H16" s="251"/>
      <c r="I16" s="251"/>
      <c r="J16" s="252"/>
    </row>
    <row r="17" spans="1:10" ht="15" customHeight="1">
      <c r="A17" s="262"/>
      <c r="B17" s="266"/>
      <c r="C17" s="266" t="s">
        <v>128</v>
      </c>
      <c r="D17" s="266"/>
      <c r="E17" s="266" t="s">
        <v>129</v>
      </c>
      <c r="F17" s="266"/>
      <c r="G17" s="254" t="s">
        <v>128</v>
      </c>
      <c r="H17" s="254"/>
      <c r="I17" s="254" t="s">
        <v>129</v>
      </c>
      <c r="J17" s="245"/>
    </row>
    <row r="18" spans="1:10" ht="15" customHeight="1" thickBot="1">
      <c r="A18" s="263"/>
      <c r="B18" s="257"/>
      <c r="C18" s="25" t="s">
        <v>130</v>
      </c>
      <c r="D18" s="25" t="s">
        <v>131</v>
      </c>
      <c r="E18" s="25" t="s">
        <v>130</v>
      </c>
      <c r="F18" s="25" t="s">
        <v>131</v>
      </c>
      <c r="G18" s="61" t="s">
        <v>130</v>
      </c>
      <c r="H18" s="61" t="s">
        <v>131</v>
      </c>
      <c r="I18" s="61" t="s">
        <v>130</v>
      </c>
      <c r="J18" s="62" t="s">
        <v>131</v>
      </c>
    </row>
    <row r="19" spans="1:10" ht="15" customHeight="1" thickTop="1">
      <c r="A19" s="264" t="s">
        <v>105</v>
      </c>
      <c r="B19" s="27" t="s">
        <v>106</v>
      </c>
      <c r="C19" s="28">
        <f>'4. 지역별'!K14</f>
        <v>4</v>
      </c>
      <c r="D19" s="28">
        <f>'4. 지역별'!M14</f>
        <v>2</v>
      </c>
      <c r="E19" s="28">
        <f>'4. 지역별'!K23</f>
        <v>4</v>
      </c>
      <c r="F19" s="28">
        <f>'4. 지역별'!M23</f>
        <v>0</v>
      </c>
      <c r="G19" s="63">
        <f>'4. 지역별'!L14</f>
        <v>3</v>
      </c>
      <c r="H19" s="63">
        <f>'4. 지역별'!N14</f>
        <v>5</v>
      </c>
      <c r="I19" s="63">
        <f>'4. 지역별'!L23</f>
        <v>3</v>
      </c>
      <c r="J19" s="64">
        <f>'4. 지역별'!N23</f>
        <v>7</v>
      </c>
    </row>
    <row r="20" spans="1:10" ht="15" customHeight="1">
      <c r="A20" s="262"/>
      <c r="B20" s="17">
        <v>1</v>
      </c>
      <c r="C20" s="12">
        <f aca="true" t="shared" si="0" ref="C20:J20">C19/7</f>
        <v>0.5714285714285714</v>
      </c>
      <c r="D20" s="12">
        <f t="shared" si="0"/>
        <v>0.2857142857142857</v>
      </c>
      <c r="E20" s="12">
        <f t="shared" si="0"/>
        <v>0.5714285714285714</v>
      </c>
      <c r="F20" s="12">
        <f t="shared" si="0"/>
        <v>0</v>
      </c>
      <c r="G20" s="65">
        <f t="shared" si="0"/>
        <v>0.42857142857142855</v>
      </c>
      <c r="H20" s="65">
        <f t="shared" si="0"/>
        <v>0.7142857142857143</v>
      </c>
      <c r="I20" s="65">
        <f>I19/7</f>
        <v>0.42857142857142855</v>
      </c>
      <c r="J20" s="66">
        <f t="shared" si="0"/>
        <v>1</v>
      </c>
    </row>
    <row r="21" spans="1:10" ht="15" customHeight="1">
      <c r="A21" s="262" t="s">
        <v>107</v>
      </c>
      <c r="B21" s="16" t="s">
        <v>193</v>
      </c>
      <c r="C21" s="10">
        <f>'5. 지점별'!R54</f>
        <v>12</v>
      </c>
      <c r="D21" s="10">
        <f>'5. 지점별'!S54</f>
        <v>6</v>
      </c>
      <c r="E21" s="10">
        <f>'5. 지점별'!R55</f>
        <v>6</v>
      </c>
      <c r="F21" s="10">
        <f>'5. 지점별'!S55</f>
        <v>0</v>
      </c>
      <c r="G21" s="67">
        <f>'5. 지점별'!T54</f>
        <v>9</v>
      </c>
      <c r="H21" s="67">
        <f>'5. 지점별'!U54</f>
        <v>15</v>
      </c>
      <c r="I21" s="67">
        <f>'5. 지점별'!T55</f>
        <v>8</v>
      </c>
      <c r="J21" s="115">
        <f>'5. 지점별'!U55</f>
        <v>14</v>
      </c>
    </row>
    <row r="22" spans="1:10" ht="15" customHeight="1" thickBot="1">
      <c r="A22" s="265"/>
      <c r="B22" s="18">
        <v>1</v>
      </c>
      <c r="C22" s="13">
        <f>C21/21</f>
        <v>0.5714285714285714</v>
      </c>
      <c r="D22" s="13">
        <f>D21/21</f>
        <v>0.2857142857142857</v>
      </c>
      <c r="E22" s="13">
        <f>E21/14</f>
        <v>0.42857142857142855</v>
      </c>
      <c r="F22" s="13">
        <f>F21/14</f>
        <v>0</v>
      </c>
      <c r="G22" s="68">
        <f>G21/21</f>
        <v>0.42857142857142855</v>
      </c>
      <c r="H22" s="68">
        <f>H21/21</f>
        <v>0.7142857142857143</v>
      </c>
      <c r="I22" s="68">
        <f>I21/14</f>
        <v>0.5714285714285714</v>
      </c>
      <c r="J22" s="69">
        <f>J21/14</f>
        <v>1</v>
      </c>
    </row>
    <row r="23" ht="15.75" customHeight="1"/>
    <row r="24" spans="1:10" ht="21.75" customHeight="1">
      <c r="A24" s="272" t="s">
        <v>108</v>
      </c>
      <c r="B24" s="272"/>
      <c r="C24" s="272"/>
      <c r="D24" s="272"/>
      <c r="E24" s="272"/>
      <c r="F24" s="272"/>
      <c r="G24" s="272"/>
      <c r="H24" s="272"/>
      <c r="I24" s="272"/>
      <c r="J24" s="272"/>
    </row>
    <row r="25" spans="1:10" ht="15" customHeight="1" thickBot="1">
      <c r="A25" s="38" t="s">
        <v>0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321" customHeight="1" thickBot="1">
      <c r="A26" s="260" t="s">
        <v>257</v>
      </c>
      <c r="B26" s="248"/>
      <c r="C26" s="248"/>
      <c r="D26" s="248"/>
      <c r="E26" s="248"/>
      <c r="F26" s="248"/>
      <c r="G26" s="248"/>
      <c r="H26" s="248"/>
      <c r="I26" s="248"/>
      <c r="J26" s="249"/>
    </row>
    <row r="27" spans="1:10" ht="9.7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3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3.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3.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3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3.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3.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3.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3.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3.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3.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3.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3.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3.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3.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3.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3.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3.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3.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3.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3.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3.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3.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3.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3.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3.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3.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3.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3.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3.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3.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3.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3.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3.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3.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3.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3.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3.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3.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3.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3.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3.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3.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3.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3.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3.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3.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3.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3.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3.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3.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3.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3.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3.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3.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3.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3.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3.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3.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3.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3.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3.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3.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3.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3.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3.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3.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3.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3.5">
      <c r="A110" s="9"/>
      <c r="B110" s="9"/>
      <c r="C110" s="9"/>
      <c r="D110" s="9"/>
      <c r="E110" s="9"/>
      <c r="F110" s="9"/>
      <c r="G110" s="9"/>
      <c r="H110" s="9"/>
      <c r="I110" s="9"/>
      <c r="J110" s="9"/>
    </row>
  </sheetData>
  <mergeCells count="25">
    <mergeCell ref="A26:J26"/>
    <mergeCell ref="I6:J6"/>
    <mergeCell ref="G16:J16"/>
    <mergeCell ref="C6:D6"/>
    <mergeCell ref="E6:F6"/>
    <mergeCell ref="G17:H17"/>
    <mergeCell ref="I17:J17"/>
    <mergeCell ref="A24:J24"/>
    <mergeCell ref="B16:B18"/>
    <mergeCell ref="E17:F17"/>
    <mergeCell ref="A1:J1"/>
    <mergeCell ref="A2:J2"/>
    <mergeCell ref="A4:J4"/>
    <mergeCell ref="A14:J14"/>
    <mergeCell ref="I5:J5"/>
    <mergeCell ref="A6:A7"/>
    <mergeCell ref="B6:B7"/>
    <mergeCell ref="G6:H6"/>
    <mergeCell ref="A8:A10"/>
    <mergeCell ref="A11:A12"/>
    <mergeCell ref="A16:A18"/>
    <mergeCell ref="A19:A20"/>
    <mergeCell ref="A21:A22"/>
    <mergeCell ref="C17:D17"/>
    <mergeCell ref="C16:F16"/>
  </mergeCells>
  <conditionalFormatting sqref="E8 G8 J8">
    <cfRule type="cellIs" priority="1" dxfId="0" operator="greaterThanOrEqual" stopIfTrue="1">
      <formula>50</formula>
    </cfRule>
  </conditionalFormatting>
  <conditionalFormatting sqref="F8 H8">
    <cfRule type="cellIs" priority="2" dxfId="0" operator="greaterThanOrEqual" stopIfTrue="1">
      <formula>40</formula>
    </cfRule>
  </conditionalFormatting>
  <conditionalFormatting sqref="F10:F11 G9 H10:H11 J10:J11">
    <cfRule type="cellIs" priority="3" dxfId="0" operator="greaterThanOrEqual" stopIfTrue="1">
      <formula>55</formula>
    </cfRule>
  </conditionalFormatting>
  <conditionalFormatting sqref="H9 J9">
    <cfRule type="cellIs" priority="4" dxfId="0" operator="greaterThanOrEqual" stopIfTrue="1">
      <formula>45</formula>
    </cfRule>
  </conditionalFormatting>
  <conditionalFormatting sqref="E10:E11 G10:G11">
    <cfRule type="cellIs" priority="5" dxfId="0" operator="greaterThanOrEqual" stopIfTrue="1">
      <formula>65</formula>
    </cfRule>
  </conditionalFormatting>
  <conditionalFormatting sqref="E12 G12">
    <cfRule type="cellIs" priority="6" dxfId="0" operator="greaterThan" stopIfTrue="1">
      <formula>$C$12</formula>
    </cfRule>
  </conditionalFormatting>
  <conditionalFormatting sqref="F12 H12 J12">
    <cfRule type="cellIs" priority="7" dxfId="0" operator="greaterThan" stopIfTrue="1">
      <formula>$D$12</formula>
    </cfRule>
  </conditionalFormatting>
  <conditionalFormatting sqref="E9">
    <cfRule type="cellIs" priority="8" dxfId="0" operator="greaterThanOrEqual" stopIfTrue="1">
      <formula>55.5</formula>
    </cfRule>
  </conditionalFormatting>
  <conditionalFormatting sqref="F9">
    <cfRule type="cellIs" priority="9" dxfId="0" operator="greaterThanOrEqual" stopIfTrue="1">
      <formula>45.5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workbookViewId="0" topLeftCell="A1">
      <selection activeCell="A1" sqref="A1:H1"/>
    </sheetView>
  </sheetViews>
  <sheetFormatPr defaultColWidth="8.88671875" defaultRowHeight="13.5"/>
  <cols>
    <col min="2" max="2" width="9.3359375" style="0" customWidth="1"/>
    <col min="3" max="3" width="9.77734375" style="0" customWidth="1"/>
    <col min="4" max="4" width="19.99609375" style="0" customWidth="1"/>
    <col min="5" max="5" width="6.10546875" style="0" customWidth="1"/>
    <col min="6" max="6" width="6.77734375" style="0" customWidth="1"/>
    <col min="7" max="7" width="6.10546875" style="0" customWidth="1"/>
    <col min="8" max="8" width="6.77734375" style="0" customWidth="1"/>
    <col min="9" max="9" width="1.4375" style="0" customWidth="1"/>
    <col min="10" max="15" width="8.88671875" style="109" customWidth="1"/>
  </cols>
  <sheetData>
    <row r="1" spans="1:15" ht="42" customHeight="1">
      <c r="A1" s="273" t="s">
        <v>254</v>
      </c>
      <c r="B1" s="273"/>
      <c r="C1" s="273"/>
      <c r="D1" s="273"/>
      <c r="E1" s="273"/>
      <c r="F1" s="273"/>
      <c r="G1" s="273"/>
      <c r="H1" s="273"/>
      <c r="I1" s="82"/>
      <c r="J1" s="110"/>
      <c r="K1" s="110"/>
      <c r="L1" s="110"/>
      <c r="M1" s="110"/>
      <c r="N1" s="110"/>
      <c r="O1" s="110"/>
    </row>
    <row r="2" spans="7:15" ht="26.25" customHeight="1" thickBot="1">
      <c r="G2" s="3"/>
      <c r="H2" s="37" t="s">
        <v>52</v>
      </c>
      <c r="I2" s="37"/>
      <c r="J2" s="110"/>
      <c r="K2" s="110"/>
      <c r="L2" s="110"/>
      <c r="M2" s="110"/>
      <c r="N2" s="110"/>
      <c r="O2" s="110"/>
    </row>
    <row r="3" spans="1:15" ht="27" customHeight="1">
      <c r="A3" s="299" t="s">
        <v>44</v>
      </c>
      <c r="B3" s="320" t="s">
        <v>58</v>
      </c>
      <c r="C3" s="320"/>
      <c r="D3" s="318" t="s">
        <v>59</v>
      </c>
      <c r="E3" s="310" t="s">
        <v>60</v>
      </c>
      <c r="F3" s="311"/>
      <c r="G3" s="311"/>
      <c r="H3" s="312"/>
      <c r="I3" s="96"/>
      <c r="J3" s="111"/>
      <c r="K3" s="328" t="s">
        <v>183</v>
      </c>
      <c r="L3" s="328"/>
      <c r="M3" s="328" t="s">
        <v>184</v>
      </c>
      <c r="N3" s="328"/>
      <c r="O3" s="110"/>
    </row>
    <row r="4" spans="1:15" ht="42.75" customHeight="1" thickBot="1">
      <c r="A4" s="300"/>
      <c r="B4" s="321"/>
      <c r="C4" s="321"/>
      <c r="D4" s="319"/>
      <c r="E4" s="301" t="s">
        <v>61</v>
      </c>
      <c r="F4" s="313"/>
      <c r="G4" s="301" t="s">
        <v>62</v>
      </c>
      <c r="H4" s="302"/>
      <c r="I4" s="97"/>
      <c r="J4" s="111"/>
      <c r="K4" s="111" t="s">
        <v>185</v>
      </c>
      <c r="L4" s="111" t="s">
        <v>186</v>
      </c>
      <c r="M4" s="111" t="s">
        <v>185</v>
      </c>
      <c r="N4" s="111" t="s">
        <v>185</v>
      </c>
      <c r="O4" s="110"/>
    </row>
    <row r="5" spans="1:15" ht="24.75" customHeight="1" thickTop="1">
      <c r="A5" s="304" t="s">
        <v>63</v>
      </c>
      <c r="B5" s="279" t="s">
        <v>64</v>
      </c>
      <c r="C5" s="31" t="s">
        <v>65</v>
      </c>
      <c r="D5" s="54" t="s">
        <v>54</v>
      </c>
      <c r="E5" s="314">
        <f>'5. 지점별'!L9</f>
        <v>54</v>
      </c>
      <c r="F5" s="315"/>
      <c r="G5" s="290">
        <f>'5. 지점별'!O9</f>
        <v>49</v>
      </c>
      <c r="H5" s="291"/>
      <c r="I5" s="98"/>
      <c r="J5" s="111"/>
      <c r="K5" s="111">
        <f>COUNTIF($E$5:$F$6,"&lt;=50")</f>
        <v>0</v>
      </c>
      <c r="L5" s="111">
        <f>COUNTIF($E$5:$F$6,"&gt;50")</f>
        <v>2</v>
      </c>
      <c r="M5" s="111">
        <f>COUNTIF($G$5:$H$6,"&lt;=40")</f>
        <v>0</v>
      </c>
      <c r="N5" s="111">
        <f>COUNTIF($G$5:$H$6,"&gt;40")</f>
        <v>2</v>
      </c>
      <c r="O5" s="110"/>
    </row>
    <row r="6" spans="1:15" ht="24.75" customHeight="1">
      <c r="A6" s="305"/>
      <c r="B6" s="279"/>
      <c r="C6" s="41" t="s">
        <v>53</v>
      </c>
      <c r="D6" s="55" t="s">
        <v>163</v>
      </c>
      <c r="E6" s="292">
        <f>'5. 지점별'!L16</f>
        <v>56</v>
      </c>
      <c r="F6" s="303"/>
      <c r="G6" s="292">
        <f>'5. 지점별'!O16</f>
        <v>49</v>
      </c>
      <c r="H6" s="293"/>
      <c r="I6" s="98"/>
      <c r="J6" s="111"/>
      <c r="K6" s="111"/>
      <c r="L6" s="111"/>
      <c r="M6" s="111"/>
      <c r="N6" s="111"/>
      <c r="O6" s="110"/>
    </row>
    <row r="7" spans="1:15" ht="24.75" customHeight="1">
      <c r="A7" s="305"/>
      <c r="B7" s="280"/>
      <c r="C7" s="244" t="s">
        <v>56</v>
      </c>
      <c r="D7" s="274"/>
      <c r="E7" s="296">
        <f>AVERAGE(E5:F6)</f>
        <v>55</v>
      </c>
      <c r="F7" s="331"/>
      <c r="G7" s="296">
        <f>AVERAGE(G5:H6)</f>
        <v>49</v>
      </c>
      <c r="H7" s="298"/>
      <c r="I7" s="99"/>
      <c r="J7" s="111"/>
      <c r="K7" s="111"/>
      <c r="L7" s="111"/>
      <c r="M7" s="111"/>
      <c r="N7" s="111"/>
      <c r="O7" s="110"/>
    </row>
    <row r="8" spans="1:15" ht="24.75" customHeight="1">
      <c r="A8" s="305"/>
      <c r="B8" s="316" t="s">
        <v>66</v>
      </c>
      <c r="C8" s="278" t="s">
        <v>67</v>
      </c>
      <c r="D8" s="55" t="s">
        <v>68</v>
      </c>
      <c r="E8" s="281">
        <f>'5. 지점별'!L23</f>
        <v>54</v>
      </c>
      <c r="F8" s="282"/>
      <c r="G8" s="292">
        <f>'5. 지점별'!O23</f>
        <v>50</v>
      </c>
      <c r="H8" s="293"/>
      <c r="I8" s="98"/>
      <c r="J8" s="111"/>
      <c r="K8" s="111">
        <f>COUNTIF($E$8:$F$10,"&lt;=55")</f>
        <v>2</v>
      </c>
      <c r="L8" s="111">
        <f>COUNTIF($E$8:$F$10,"&gt;55")</f>
        <v>1</v>
      </c>
      <c r="M8" s="111">
        <f>COUNTIF($G$8:$H$10,"&lt;=45")</f>
        <v>0</v>
      </c>
      <c r="N8" s="111">
        <f>COUNTIF($G$8:$H$10,"&gt;45")</f>
        <v>3</v>
      </c>
      <c r="O8" s="110"/>
    </row>
    <row r="9" spans="1:15" ht="24.75" customHeight="1">
      <c r="A9" s="305"/>
      <c r="B9" s="279"/>
      <c r="C9" s="279"/>
      <c r="D9" s="55" t="s">
        <v>69</v>
      </c>
      <c r="E9" s="292">
        <f>'5. 지점별'!L30</f>
        <v>56</v>
      </c>
      <c r="F9" s="303"/>
      <c r="G9" s="292">
        <f>'5. 지점별'!O30</f>
        <v>52</v>
      </c>
      <c r="H9" s="293"/>
      <c r="I9" s="98"/>
      <c r="J9" s="111"/>
      <c r="K9" s="111"/>
      <c r="L9" s="111"/>
      <c r="M9" s="111"/>
      <c r="N9" s="111"/>
      <c r="O9" s="110"/>
    </row>
    <row r="10" spans="1:15" ht="24.75" customHeight="1">
      <c r="A10" s="305"/>
      <c r="B10" s="279"/>
      <c r="C10" s="280"/>
      <c r="D10" s="55" t="s">
        <v>70</v>
      </c>
      <c r="E10" s="281">
        <f>'5. 지점별'!L37</f>
        <v>55</v>
      </c>
      <c r="F10" s="282"/>
      <c r="G10" s="292">
        <f>'5. 지점별'!O37</f>
        <v>51</v>
      </c>
      <c r="H10" s="293"/>
      <c r="I10" s="98"/>
      <c r="J10" s="111"/>
      <c r="K10" s="111"/>
      <c r="L10" s="111"/>
      <c r="M10" s="111"/>
      <c r="N10" s="111"/>
      <c r="O10" s="110"/>
    </row>
    <row r="11" spans="1:15" ht="24.75" customHeight="1">
      <c r="A11" s="305"/>
      <c r="B11" s="280"/>
      <c r="C11" s="244" t="s">
        <v>56</v>
      </c>
      <c r="D11" s="274"/>
      <c r="E11" s="329">
        <f>AVERAGE(E8:F10)</f>
        <v>55</v>
      </c>
      <c r="F11" s="330"/>
      <c r="G11" s="296">
        <f>AVERAGE(G8:H10)</f>
        <v>51</v>
      </c>
      <c r="H11" s="298"/>
      <c r="I11" s="99"/>
      <c r="J11" s="111"/>
      <c r="K11" s="111"/>
      <c r="L11" s="111"/>
      <c r="M11" s="111"/>
      <c r="N11" s="111"/>
      <c r="O11" s="110"/>
    </row>
    <row r="12" spans="1:15" ht="24.75" customHeight="1">
      <c r="A12" s="305"/>
      <c r="B12" s="316" t="s">
        <v>55</v>
      </c>
      <c r="C12" s="41" t="s">
        <v>71</v>
      </c>
      <c r="D12" s="55" t="s">
        <v>72</v>
      </c>
      <c r="E12" s="281">
        <f>'5. 지점별'!L44</f>
        <v>57</v>
      </c>
      <c r="F12" s="282"/>
      <c r="G12" s="281">
        <f>'5. 지점별'!O44</f>
        <v>53</v>
      </c>
      <c r="H12" s="287"/>
      <c r="I12" s="98"/>
      <c r="J12" s="111"/>
      <c r="K12" s="111">
        <f>COUNTIF($E$12:$F$13,"&lt;=65")</f>
        <v>2</v>
      </c>
      <c r="L12" s="111">
        <f>COUNTIF($E$12:$F$13,"&gt;65")</f>
        <v>0</v>
      </c>
      <c r="M12" s="111">
        <f>COUNTIF($G$12:$H$13,"&lt;=55")</f>
        <v>2</v>
      </c>
      <c r="N12" s="111">
        <f>COUNTIF($G$12:$H$13,"&gt;55")</f>
        <v>0</v>
      </c>
      <c r="O12" s="110"/>
    </row>
    <row r="13" spans="1:15" ht="24.75" customHeight="1">
      <c r="A13" s="305"/>
      <c r="B13" s="279"/>
      <c r="C13" s="41" t="s">
        <v>73</v>
      </c>
      <c r="D13" s="55" t="s">
        <v>74</v>
      </c>
      <c r="E13" s="281">
        <f>'5. 지점별'!L51</f>
        <v>61</v>
      </c>
      <c r="F13" s="282"/>
      <c r="G13" s="281">
        <f>'5. 지점별'!O51</f>
        <v>43</v>
      </c>
      <c r="H13" s="287"/>
      <c r="I13" s="98"/>
      <c r="J13" s="111"/>
      <c r="K13" s="111"/>
      <c r="L13" s="111"/>
      <c r="M13" s="111"/>
      <c r="N13" s="111"/>
      <c r="O13" s="110"/>
    </row>
    <row r="14" spans="1:15" ht="24.75" customHeight="1" thickBot="1">
      <c r="A14" s="306"/>
      <c r="B14" s="317"/>
      <c r="C14" s="275" t="s">
        <v>56</v>
      </c>
      <c r="D14" s="276"/>
      <c r="E14" s="288">
        <f>AVERAGE(E12:E13)</f>
        <v>59</v>
      </c>
      <c r="F14" s="322"/>
      <c r="G14" s="288">
        <f>AVERAGE(G12:G13)</f>
        <v>48</v>
      </c>
      <c r="H14" s="289"/>
      <c r="I14" s="99"/>
      <c r="J14" s="111" t="s">
        <v>187</v>
      </c>
      <c r="K14" s="111">
        <f>SUM(K5:K12)</f>
        <v>4</v>
      </c>
      <c r="L14" s="111">
        <f>SUM(L5:L12)</f>
        <v>3</v>
      </c>
      <c r="M14" s="111">
        <f>SUM(M5:M12)</f>
        <v>2</v>
      </c>
      <c r="N14" s="111">
        <f>SUM(N5:N12)</f>
        <v>5</v>
      </c>
      <c r="O14" s="110"/>
    </row>
    <row r="15" spans="1:15" ht="24.75" customHeight="1">
      <c r="A15" s="304" t="s">
        <v>75</v>
      </c>
      <c r="B15" s="307" t="s">
        <v>57</v>
      </c>
      <c r="C15" s="31" t="s">
        <v>65</v>
      </c>
      <c r="D15" s="54" t="s">
        <v>54</v>
      </c>
      <c r="E15" s="323">
        <f>'5. 지점별'!L12</f>
        <v>64</v>
      </c>
      <c r="F15" s="324"/>
      <c r="G15" s="290">
        <f>'5. 지점별'!O12</f>
        <v>59</v>
      </c>
      <c r="H15" s="291"/>
      <c r="I15" s="98"/>
      <c r="J15" s="111"/>
      <c r="K15" s="111"/>
      <c r="L15" s="111"/>
      <c r="M15" s="111"/>
      <c r="N15" s="111"/>
      <c r="O15" s="110"/>
    </row>
    <row r="16" spans="1:15" ht="24.75" customHeight="1">
      <c r="A16" s="305"/>
      <c r="B16" s="308"/>
      <c r="C16" s="41" t="s">
        <v>53</v>
      </c>
      <c r="D16" s="55" t="s">
        <v>163</v>
      </c>
      <c r="E16" s="281">
        <f>'5. 지점별'!L19</f>
        <v>63</v>
      </c>
      <c r="F16" s="282"/>
      <c r="G16" s="292">
        <f>'5. 지점별'!O19</f>
        <v>58</v>
      </c>
      <c r="H16" s="293"/>
      <c r="I16" s="98"/>
      <c r="J16" s="111"/>
      <c r="K16" s="111"/>
      <c r="L16" s="111"/>
      <c r="M16" s="111"/>
      <c r="N16" s="111"/>
      <c r="O16" s="110"/>
    </row>
    <row r="17" spans="1:15" ht="24.75" customHeight="1">
      <c r="A17" s="305"/>
      <c r="B17" s="308"/>
      <c r="C17" s="277" t="s">
        <v>76</v>
      </c>
      <c r="D17" s="55" t="s">
        <v>68</v>
      </c>
      <c r="E17" s="188">
        <f>'5. 지점별'!L26</f>
        <v>68</v>
      </c>
      <c r="F17" s="41" t="s">
        <v>139</v>
      </c>
      <c r="G17" s="188">
        <f>'5. 지점별'!O26</f>
        <v>65</v>
      </c>
      <c r="H17" s="42" t="s">
        <v>139</v>
      </c>
      <c r="I17" s="96"/>
      <c r="J17" s="111"/>
      <c r="K17" s="111">
        <f>COUNTIF($E$15:$E$19,"&lt;=65")</f>
        <v>2</v>
      </c>
      <c r="L17" s="111">
        <f>COUNTIF($E$15:$E$19,"&gt;65")</f>
        <v>3</v>
      </c>
      <c r="M17" s="111">
        <f>COUNTIF($G$15:$G$19,"&lt;=55")</f>
        <v>0</v>
      </c>
      <c r="N17" s="111">
        <f>COUNTIF($G$15:$G$19,"&gt;55")</f>
        <v>5</v>
      </c>
      <c r="O17" s="110"/>
    </row>
    <row r="18" spans="1:15" ht="24.75" customHeight="1">
      <c r="A18" s="305"/>
      <c r="B18" s="308"/>
      <c r="C18" s="277"/>
      <c r="D18" s="55" t="s">
        <v>69</v>
      </c>
      <c r="E18" s="188">
        <f>'5. 지점별'!L33</f>
        <v>68</v>
      </c>
      <c r="F18" s="326">
        <f>AVERAGE(E17:E19)</f>
        <v>68.66666666666667</v>
      </c>
      <c r="G18" s="188">
        <f>'5. 지점별'!O33</f>
        <v>64</v>
      </c>
      <c r="H18" s="294">
        <f>AVERAGE(G17:G19)</f>
        <v>65.33333333333333</v>
      </c>
      <c r="I18" s="100"/>
      <c r="J18" s="111"/>
      <c r="K18" s="111"/>
      <c r="L18" s="111"/>
      <c r="M18" s="111"/>
      <c r="N18" s="111"/>
      <c r="O18" s="110"/>
    </row>
    <row r="19" spans="1:15" ht="24.75" customHeight="1">
      <c r="A19" s="305"/>
      <c r="B19" s="308"/>
      <c r="C19" s="277"/>
      <c r="D19" s="55" t="s">
        <v>70</v>
      </c>
      <c r="E19" s="188">
        <f>'5. 지점별'!L40</f>
        <v>70</v>
      </c>
      <c r="F19" s="327"/>
      <c r="G19" s="188">
        <f>'5. 지점별'!O40</f>
        <v>67</v>
      </c>
      <c r="H19" s="295"/>
      <c r="I19" s="100"/>
      <c r="J19" s="111"/>
      <c r="K19" s="111"/>
      <c r="L19" s="111"/>
      <c r="M19" s="111"/>
      <c r="N19" s="111"/>
      <c r="O19" s="110"/>
    </row>
    <row r="20" spans="1:15" ht="24.75" customHeight="1">
      <c r="A20" s="305"/>
      <c r="B20" s="308"/>
      <c r="C20" s="244" t="s">
        <v>56</v>
      </c>
      <c r="D20" s="274"/>
      <c r="E20" s="296">
        <f>AVERAGE(E15,E16,E17,E18,E19)</f>
        <v>66.6</v>
      </c>
      <c r="F20" s="325"/>
      <c r="G20" s="296">
        <f>AVERAGE(G15,G16,G17,G18,G19)</f>
        <v>62.6</v>
      </c>
      <c r="H20" s="297"/>
      <c r="I20" s="101"/>
      <c r="J20" s="111"/>
      <c r="K20" s="111"/>
      <c r="L20" s="111"/>
      <c r="M20" s="111"/>
      <c r="N20" s="111"/>
      <c r="O20" s="110"/>
    </row>
    <row r="21" spans="1:15" ht="24.75" customHeight="1">
      <c r="A21" s="305"/>
      <c r="B21" s="308" t="s">
        <v>55</v>
      </c>
      <c r="C21" s="41" t="s">
        <v>71</v>
      </c>
      <c r="D21" s="55" t="s">
        <v>72</v>
      </c>
      <c r="E21" s="246">
        <f>'5. 지점별'!L47</f>
        <v>68</v>
      </c>
      <c r="F21" s="247"/>
      <c r="G21" s="283">
        <f>'5. 지점별'!O47</f>
        <v>67</v>
      </c>
      <c r="H21" s="284"/>
      <c r="I21" s="100"/>
      <c r="J21" s="111"/>
      <c r="K21" s="111">
        <f>COUNTIF($E$21:$F$22,"&lt;=70")</f>
        <v>2</v>
      </c>
      <c r="L21" s="111">
        <f>COUNTIF($E$21:$F$22,"&gt;70")</f>
        <v>0</v>
      </c>
      <c r="M21" s="111">
        <f>COUNTIF($G$21:$H$22,"&lt;=60")</f>
        <v>0</v>
      </c>
      <c r="N21" s="111">
        <f>COUNTIF($G$21:$H$22,"&gt;60")</f>
        <v>2</v>
      </c>
      <c r="O21" s="110"/>
    </row>
    <row r="22" spans="1:15" ht="24.75" customHeight="1">
      <c r="A22" s="305"/>
      <c r="B22" s="308"/>
      <c r="C22" s="41" t="s">
        <v>73</v>
      </c>
      <c r="D22" s="55" t="s">
        <v>74</v>
      </c>
      <c r="E22" s="246">
        <f>'5. 지점별'!L54</f>
        <v>70</v>
      </c>
      <c r="F22" s="247"/>
      <c r="G22" s="283">
        <f>'5. 지점별'!O54</f>
        <v>66</v>
      </c>
      <c r="H22" s="284"/>
      <c r="I22" s="100"/>
      <c r="J22" s="111"/>
      <c r="K22" s="111"/>
      <c r="L22" s="111"/>
      <c r="M22" s="111"/>
      <c r="N22" s="111"/>
      <c r="O22" s="110"/>
    </row>
    <row r="23" spans="1:15" ht="24.75" customHeight="1" thickBot="1">
      <c r="A23" s="306"/>
      <c r="B23" s="309"/>
      <c r="C23" s="275" t="s">
        <v>56</v>
      </c>
      <c r="D23" s="276"/>
      <c r="E23" s="242">
        <f>AVERAGE(E21:E22)</f>
        <v>69</v>
      </c>
      <c r="F23" s="243"/>
      <c r="G23" s="285">
        <f>AVERAGE(G21:G22)</f>
        <v>66.5</v>
      </c>
      <c r="H23" s="286"/>
      <c r="I23" s="102"/>
      <c r="J23" s="111" t="s">
        <v>187</v>
      </c>
      <c r="K23" s="111">
        <f>SUM(K17:K21)</f>
        <v>4</v>
      </c>
      <c r="L23" s="111">
        <f>SUM(L17:L21)</f>
        <v>3</v>
      </c>
      <c r="M23" s="111">
        <f>SUM(M17:M21)</f>
        <v>0</v>
      </c>
      <c r="N23" s="111">
        <f>SUM(N17:N21)</f>
        <v>7</v>
      </c>
      <c r="O23" s="110"/>
    </row>
    <row r="24" spans="10:15" ht="13.5">
      <c r="J24" s="111"/>
      <c r="K24" s="111"/>
      <c r="L24" s="111"/>
      <c r="M24" s="111"/>
      <c r="N24" s="111"/>
      <c r="O24" s="110"/>
    </row>
    <row r="25" spans="10:15" ht="13.5">
      <c r="J25" s="111"/>
      <c r="K25" s="111"/>
      <c r="L25" s="111"/>
      <c r="M25" s="111"/>
      <c r="N25" s="111"/>
      <c r="O25" s="110"/>
    </row>
    <row r="26" spans="10:15" ht="13.5">
      <c r="J26" s="110"/>
      <c r="K26" s="110"/>
      <c r="L26" s="110"/>
      <c r="M26" s="110"/>
      <c r="N26" s="110"/>
      <c r="O26" s="110"/>
    </row>
    <row r="27" spans="10:15" ht="13.5">
      <c r="J27" s="110"/>
      <c r="K27" s="110"/>
      <c r="L27" s="110"/>
      <c r="M27" s="110"/>
      <c r="N27" s="110"/>
      <c r="O27" s="110"/>
    </row>
  </sheetData>
  <mergeCells count="57">
    <mergeCell ref="K3:L3"/>
    <mergeCell ref="M3:N3"/>
    <mergeCell ref="E11:F11"/>
    <mergeCell ref="E12:F12"/>
    <mergeCell ref="E7:F7"/>
    <mergeCell ref="E8:F8"/>
    <mergeCell ref="E9:F9"/>
    <mergeCell ref="E10:F10"/>
    <mergeCell ref="G7:H7"/>
    <mergeCell ref="G8:H8"/>
    <mergeCell ref="E14:F14"/>
    <mergeCell ref="E15:F15"/>
    <mergeCell ref="E16:F16"/>
    <mergeCell ref="E20:F20"/>
    <mergeCell ref="F18:F19"/>
    <mergeCell ref="A1:H1"/>
    <mergeCell ref="E3:H3"/>
    <mergeCell ref="E4:F4"/>
    <mergeCell ref="E5:F5"/>
    <mergeCell ref="A5:A14"/>
    <mergeCell ref="B5:B7"/>
    <mergeCell ref="B8:B11"/>
    <mergeCell ref="B12:B14"/>
    <mergeCell ref="D3:D4"/>
    <mergeCell ref="B3:C4"/>
    <mergeCell ref="A15:A23"/>
    <mergeCell ref="B15:B20"/>
    <mergeCell ref="B21:B23"/>
    <mergeCell ref="C23:D23"/>
    <mergeCell ref="A3:A4"/>
    <mergeCell ref="G4:H4"/>
    <mergeCell ref="G5:H5"/>
    <mergeCell ref="G6:H6"/>
    <mergeCell ref="E6:F6"/>
    <mergeCell ref="G9:H9"/>
    <mergeCell ref="G10:H10"/>
    <mergeCell ref="G11:H11"/>
    <mergeCell ref="G12:H12"/>
    <mergeCell ref="G21:H21"/>
    <mergeCell ref="G22:H22"/>
    <mergeCell ref="G23:H23"/>
    <mergeCell ref="G13:H13"/>
    <mergeCell ref="G14:H14"/>
    <mergeCell ref="G15:H15"/>
    <mergeCell ref="G16:H16"/>
    <mergeCell ref="H18:H19"/>
    <mergeCell ref="G20:H20"/>
    <mergeCell ref="E22:F22"/>
    <mergeCell ref="E23:F23"/>
    <mergeCell ref="C7:D7"/>
    <mergeCell ref="C11:D11"/>
    <mergeCell ref="C14:D14"/>
    <mergeCell ref="C20:D20"/>
    <mergeCell ref="C17:C19"/>
    <mergeCell ref="C8:C10"/>
    <mergeCell ref="E13:F13"/>
    <mergeCell ref="E21:F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pane xSplit="4" ySplit="5" topLeftCell="E6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A1" sqref="A1:O1"/>
    </sheetView>
  </sheetViews>
  <sheetFormatPr defaultColWidth="8.88671875" defaultRowHeight="13.5"/>
  <cols>
    <col min="1" max="2" width="4.21484375" style="0" customWidth="1"/>
    <col min="3" max="3" width="7.6640625" style="0" customWidth="1"/>
    <col min="4" max="4" width="4.21484375" style="0" customWidth="1"/>
    <col min="5" max="5" width="12.88671875" style="0" customWidth="1"/>
    <col min="6" max="7" width="7.77734375" style="0" customWidth="1"/>
    <col min="8" max="8" width="4.3359375" style="0" customWidth="1"/>
    <col min="9" max="9" width="4.21484375" style="0" customWidth="1"/>
    <col min="10" max="11" width="4.3359375" style="0" customWidth="1"/>
    <col min="12" max="12" width="4.21484375" style="0" customWidth="1"/>
    <col min="13" max="14" width="4.3359375" style="0" customWidth="1"/>
    <col min="15" max="15" width="4.6640625" style="0" customWidth="1"/>
    <col min="16" max="16" width="1.66796875" style="0" customWidth="1"/>
    <col min="17" max="17" width="7.10546875" style="109" customWidth="1"/>
    <col min="18" max="18" width="4.4453125" style="109" customWidth="1"/>
    <col min="19" max="19" width="4.5546875" style="109" customWidth="1"/>
    <col min="20" max="21" width="4.6640625" style="109" customWidth="1"/>
    <col min="22" max="22" width="8.88671875" style="109" customWidth="1"/>
    <col min="23" max="23" width="8.88671875" style="103" customWidth="1"/>
  </cols>
  <sheetData>
    <row r="1" spans="1:15" ht="20.25">
      <c r="A1" s="272" t="s">
        <v>77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55" t="s">
        <v>52</v>
      </c>
      <c r="N2" s="355"/>
      <c r="O2" s="355"/>
    </row>
    <row r="3" spans="1:22" ht="22.5" customHeight="1">
      <c r="A3" s="344" t="s">
        <v>4</v>
      </c>
      <c r="B3" s="345"/>
      <c r="C3" s="345" t="s">
        <v>5</v>
      </c>
      <c r="D3" s="345"/>
      <c r="E3" s="345"/>
      <c r="F3" s="345"/>
      <c r="G3" s="345"/>
      <c r="H3" s="345" t="s">
        <v>6</v>
      </c>
      <c r="I3" s="345"/>
      <c r="J3" s="345"/>
      <c r="K3" s="345"/>
      <c r="L3" s="345"/>
      <c r="M3" s="345"/>
      <c r="N3" s="345"/>
      <c r="O3" s="349"/>
      <c r="Q3" s="112"/>
      <c r="R3" s="112"/>
      <c r="S3" s="112"/>
      <c r="T3" s="112"/>
      <c r="U3" s="112"/>
      <c r="V3" s="112"/>
    </row>
    <row r="4" spans="1:23" ht="13.5">
      <c r="A4" s="347" t="s">
        <v>34</v>
      </c>
      <c r="B4" s="335" t="s">
        <v>35</v>
      </c>
      <c r="C4" s="335" t="s">
        <v>33</v>
      </c>
      <c r="D4" s="335" t="s">
        <v>44</v>
      </c>
      <c r="E4" s="332" t="s">
        <v>7</v>
      </c>
      <c r="F4" s="266" t="s">
        <v>8</v>
      </c>
      <c r="G4" s="266"/>
      <c r="H4" s="266" t="s">
        <v>9</v>
      </c>
      <c r="I4" s="266"/>
      <c r="J4" s="266"/>
      <c r="K4" s="266"/>
      <c r="L4" s="266"/>
      <c r="M4" s="266" t="s">
        <v>10</v>
      </c>
      <c r="N4" s="266"/>
      <c r="O4" s="340"/>
      <c r="Q4" s="112"/>
      <c r="R4" s="112" t="s">
        <v>135</v>
      </c>
      <c r="S4" s="112" t="s">
        <v>136</v>
      </c>
      <c r="T4" s="112" t="s">
        <v>135</v>
      </c>
      <c r="U4" s="112" t="s">
        <v>136</v>
      </c>
      <c r="V4" s="112"/>
      <c r="W4"/>
    </row>
    <row r="5" spans="1:22" ht="14.25" thickBot="1">
      <c r="A5" s="348"/>
      <c r="B5" s="346"/>
      <c r="C5" s="346"/>
      <c r="D5" s="346"/>
      <c r="E5" s="346"/>
      <c r="F5" s="25" t="s">
        <v>32</v>
      </c>
      <c r="G5" s="25" t="s">
        <v>78</v>
      </c>
      <c r="H5" s="25">
        <v>9</v>
      </c>
      <c r="I5" s="25">
        <v>12</v>
      </c>
      <c r="J5" s="25">
        <v>16</v>
      </c>
      <c r="K5" s="25">
        <v>20</v>
      </c>
      <c r="L5" s="39" t="s">
        <v>11</v>
      </c>
      <c r="M5" s="25">
        <v>23</v>
      </c>
      <c r="N5" s="25">
        <v>1</v>
      </c>
      <c r="O5" s="40" t="s">
        <v>11</v>
      </c>
      <c r="Q5" s="112"/>
      <c r="R5" s="112" t="s">
        <v>142</v>
      </c>
      <c r="S5" s="112" t="s">
        <v>142</v>
      </c>
      <c r="T5" s="112" t="s">
        <v>140</v>
      </c>
      <c r="U5" s="112" t="s">
        <v>140</v>
      </c>
      <c r="V5" s="112"/>
    </row>
    <row r="6" spans="1:22" ht="14.25" thickTop="1">
      <c r="A6" s="338" t="s">
        <v>12</v>
      </c>
      <c r="B6" s="336" t="s">
        <v>36</v>
      </c>
      <c r="C6" s="336" t="s">
        <v>38</v>
      </c>
      <c r="D6" s="333" t="s">
        <v>13</v>
      </c>
      <c r="E6" s="21" t="s">
        <v>14</v>
      </c>
      <c r="F6" s="21">
        <v>202.6</v>
      </c>
      <c r="G6" s="21">
        <v>179</v>
      </c>
      <c r="H6" s="141">
        <v>51</v>
      </c>
      <c r="I6" s="141">
        <v>55</v>
      </c>
      <c r="J6" s="141">
        <v>53</v>
      </c>
      <c r="K6" s="141">
        <v>52</v>
      </c>
      <c r="L6" s="141">
        <f>ROUND(AVERAGE(H6:K6),0)</f>
        <v>53</v>
      </c>
      <c r="M6" s="141">
        <v>48</v>
      </c>
      <c r="N6" s="141">
        <v>47</v>
      </c>
      <c r="O6" s="172">
        <f>ROUND(AVERAGE(M6:N6),0)</f>
        <v>48</v>
      </c>
      <c r="Q6" s="112" t="s">
        <v>141</v>
      </c>
      <c r="R6" s="112">
        <f>COUNTIF($L$6:$L$8,"&lt;=50")</f>
        <v>0</v>
      </c>
      <c r="S6" s="112">
        <f>COUNTIF($O$6:$O$8,"&lt;=40")</f>
        <v>0</v>
      </c>
      <c r="T6" s="112">
        <f>COUNTIF($L$6:$L$8,"&gt;=50")</f>
        <v>3</v>
      </c>
      <c r="U6" s="112">
        <f>COUNTIF($O$6:$O$8,"&gt;=40")</f>
        <v>3</v>
      </c>
      <c r="V6" s="112"/>
    </row>
    <row r="7" spans="1:22" ht="13.5">
      <c r="A7" s="338"/>
      <c r="B7" s="333"/>
      <c r="C7" s="333"/>
      <c r="D7" s="333"/>
      <c r="E7" s="14" t="s">
        <v>15</v>
      </c>
      <c r="F7" s="14">
        <v>202.54</v>
      </c>
      <c r="G7" s="14">
        <v>178.72</v>
      </c>
      <c r="H7" s="142">
        <v>51</v>
      </c>
      <c r="I7" s="142">
        <v>53</v>
      </c>
      <c r="J7" s="142">
        <v>54</v>
      </c>
      <c r="K7" s="142">
        <v>51</v>
      </c>
      <c r="L7" s="141">
        <f>ROUND(AVERAGE(H7:K7),0)</f>
        <v>52</v>
      </c>
      <c r="M7" s="142">
        <v>50</v>
      </c>
      <c r="N7" s="142">
        <v>46</v>
      </c>
      <c r="O7" s="172">
        <f aca="true" t="shared" si="0" ref="O7:O54">ROUND(AVERAGE(M7:N7),0)</f>
        <v>48</v>
      </c>
      <c r="Q7" s="112"/>
      <c r="R7" s="112"/>
      <c r="S7" s="112"/>
      <c r="T7" s="112"/>
      <c r="U7" s="112"/>
      <c r="V7" s="112"/>
    </row>
    <row r="8" spans="1:22" ht="13.5">
      <c r="A8" s="338"/>
      <c r="B8" s="333"/>
      <c r="C8" s="333"/>
      <c r="D8" s="333"/>
      <c r="E8" s="14" t="s">
        <v>16</v>
      </c>
      <c r="F8" s="14">
        <v>202.42</v>
      </c>
      <c r="G8" s="14">
        <v>179.41</v>
      </c>
      <c r="H8" s="142">
        <v>58</v>
      </c>
      <c r="I8" s="142">
        <v>55</v>
      </c>
      <c r="J8" s="142">
        <v>55</v>
      </c>
      <c r="K8" s="142">
        <v>54</v>
      </c>
      <c r="L8" s="141">
        <f aca="true" t="shared" si="1" ref="L8:L54">ROUND(AVERAGE(H8:K8),0)</f>
        <v>56</v>
      </c>
      <c r="M8" s="142">
        <v>53</v>
      </c>
      <c r="N8" s="142">
        <v>52</v>
      </c>
      <c r="O8" s="172">
        <f t="shared" si="0"/>
        <v>53</v>
      </c>
      <c r="Q8" s="112"/>
      <c r="R8" s="112"/>
      <c r="S8" s="112"/>
      <c r="T8" s="112"/>
      <c r="U8" s="112"/>
      <c r="V8" s="112"/>
    </row>
    <row r="9" spans="1:22" ht="13.5">
      <c r="A9" s="338"/>
      <c r="B9" s="333"/>
      <c r="C9" s="333"/>
      <c r="D9" s="337"/>
      <c r="E9" s="341" t="s">
        <v>11</v>
      </c>
      <c r="F9" s="342"/>
      <c r="G9" s="343"/>
      <c r="H9" s="179">
        <f aca="true" t="shared" si="2" ref="H9:M9">AVERAGE(H6:H8)</f>
        <v>53.333333333333336</v>
      </c>
      <c r="I9" s="179">
        <f t="shared" si="2"/>
        <v>54.333333333333336</v>
      </c>
      <c r="J9" s="179">
        <f t="shared" si="2"/>
        <v>54</v>
      </c>
      <c r="K9" s="179">
        <f t="shared" si="2"/>
        <v>52.333333333333336</v>
      </c>
      <c r="L9" s="143">
        <f t="shared" si="1"/>
        <v>54</v>
      </c>
      <c r="M9" s="179">
        <f t="shared" si="2"/>
        <v>50.333333333333336</v>
      </c>
      <c r="N9" s="179">
        <f>AVERAGE(N6:N8)</f>
        <v>48.333333333333336</v>
      </c>
      <c r="O9" s="173">
        <f t="shared" si="0"/>
        <v>49</v>
      </c>
      <c r="Q9" s="112"/>
      <c r="R9" s="112"/>
      <c r="S9" s="112"/>
      <c r="T9" s="112"/>
      <c r="U9" s="112"/>
      <c r="V9" s="112"/>
    </row>
    <row r="10" spans="1:22" ht="13.5">
      <c r="A10" s="338"/>
      <c r="B10" s="333"/>
      <c r="C10" s="333"/>
      <c r="D10" s="332" t="s">
        <v>17</v>
      </c>
      <c r="E10" s="14" t="s">
        <v>18</v>
      </c>
      <c r="F10" s="14">
        <v>202.76</v>
      </c>
      <c r="G10" s="14">
        <v>179.52</v>
      </c>
      <c r="H10" s="142">
        <v>68</v>
      </c>
      <c r="I10" s="142">
        <v>67</v>
      </c>
      <c r="J10" s="142">
        <v>66</v>
      </c>
      <c r="K10" s="142">
        <v>65</v>
      </c>
      <c r="L10" s="141">
        <f t="shared" si="1"/>
        <v>67</v>
      </c>
      <c r="M10" s="142">
        <v>63</v>
      </c>
      <c r="N10" s="142">
        <v>60</v>
      </c>
      <c r="O10" s="172">
        <f t="shared" si="0"/>
        <v>62</v>
      </c>
      <c r="Q10" s="112" t="s">
        <v>43</v>
      </c>
      <c r="R10" s="112">
        <f>COUNTIF($L$10:$L$11,"&lt;=65")</f>
        <v>1</v>
      </c>
      <c r="S10" s="112">
        <f>COUNTIF($O$10:$O$11,"&lt;=55")</f>
        <v>0</v>
      </c>
      <c r="T10" s="112">
        <f>COUNTIF($L$10:$L$11,"&gt;65")</f>
        <v>1</v>
      </c>
      <c r="U10" s="112">
        <f>COUNTIF($O$10:$O$11,"&gt;55")</f>
        <v>2</v>
      </c>
      <c r="V10" s="112"/>
    </row>
    <row r="11" spans="1:22" ht="13.5">
      <c r="A11" s="338"/>
      <c r="B11" s="333"/>
      <c r="C11" s="333"/>
      <c r="D11" s="333"/>
      <c r="E11" s="14" t="s">
        <v>19</v>
      </c>
      <c r="F11" s="14">
        <v>202.52</v>
      </c>
      <c r="G11" s="14">
        <v>179.26</v>
      </c>
      <c r="H11" s="142">
        <v>59</v>
      </c>
      <c r="I11" s="142">
        <v>63</v>
      </c>
      <c r="J11" s="142">
        <v>63</v>
      </c>
      <c r="K11" s="142">
        <v>60</v>
      </c>
      <c r="L11" s="141">
        <f t="shared" si="1"/>
        <v>61</v>
      </c>
      <c r="M11" s="142">
        <v>58</v>
      </c>
      <c r="N11" s="142">
        <v>54</v>
      </c>
      <c r="O11" s="172">
        <f t="shared" si="0"/>
        <v>56</v>
      </c>
      <c r="Q11" s="112"/>
      <c r="R11" s="112"/>
      <c r="S11" s="112"/>
      <c r="T11" s="112"/>
      <c r="U11" s="112"/>
      <c r="V11" s="112"/>
    </row>
    <row r="12" spans="1:22" ht="13.5">
      <c r="A12" s="338"/>
      <c r="B12" s="337"/>
      <c r="C12" s="337"/>
      <c r="D12" s="337"/>
      <c r="E12" s="341" t="s">
        <v>11</v>
      </c>
      <c r="F12" s="342"/>
      <c r="G12" s="343"/>
      <c r="H12" s="179">
        <f>AVERAGE(H10:H11)</f>
        <v>63.5</v>
      </c>
      <c r="I12" s="179">
        <f>AVERAGE(I10:I11)</f>
        <v>65</v>
      </c>
      <c r="J12" s="179">
        <f>AVERAGE(J10:J11)</f>
        <v>64.5</v>
      </c>
      <c r="K12" s="179">
        <f>AVERAGE(K10:K11)</f>
        <v>62.5</v>
      </c>
      <c r="L12" s="143">
        <f t="shared" si="1"/>
        <v>64</v>
      </c>
      <c r="M12" s="179">
        <f>AVERAGE(M10:M11)</f>
        <v>60.5</v>
      </c>
      <c r="N12" s="179">
        <f>AVERAGE(N10:N11)</f>
        <v>57</v>
      </c>
      <c r="O12" s="173">
        <f t="shared" si="0"/>
        <v>59</v>
      </c>
      <c r="Q12" s="112"/>
      <c r="R12" s="112"/>
      <c r="S12" s="112"/>
      <c r="T12" s="112"/>
      <c r="U12" s="112"/>
      <c r="V12" s="112"/>
    </row>
    <row r="13" spans="1:22" ht="13.5">
      <c r="A13" s="338"/>
      <c r="B13" s="335" t="s">
        <v>37</v>
      </c>
      <c r="C13" s="335" t="s">
        <v>146</v>
      </c>
      <c r="D13" s="332" t="s">
        <v>13</v>
      </c>
      <c r="E13" s="14" t="s">
        <v>143</v>
      </c>
      <c r="F13" s="14">
        <v>203.7</v>
      </c>
      <c r="G13" s="14">
        <v>180.38</v>
      </c>
      <c r="H13" s="180">
        <v>56</v>
      </c>
      <c r="I13" s="180">
        <v>56</v>
      </c>
      <c r="J13" s="180">
        <v>59</v>
      </c>
      <c r="K13" s="180">
        <v>54</v>
      </c>
      <c r="L13" s="141">
        <f t="shared" si="1"/>
        <v>56</v>
      </c>
      <c r="M13" s="180">
        <v>49</v>
      </c>
      <c r="N13" s="180">
        <v>47</v>
      </c>
      <c r="O13" s="172">
        <f t="shared" si="0"/>
        <v>48</v>
      </c>
      <c r="Q13" s="112" t="s">
        <v>141</v>
      </c>
      <c r="R13" s="112">
        <f>COUNTIF($L$13:$L$15,"&lt;=50")</f>
        <v>0</v>
      </c>
      <c r="S13" s="112">
        <f>COUNTIF($O$13:$O$15,"&lt;=40")</f>
        <v>0</v>
      </c>
      <c r="T13" s="112">
        <f>COUNTIF($L$13:$L$15,"&gt;50")</f>
        <v>3</v>
      </c>
      <c r="U13" s="112">
        <f>COUNTIF($O$13:$O$15,"&gt;40")</f>
        <v>3</v>
      </c>
      <c r="V13" s="112"/>
    </row>
    <row r="14" spans="1:22" ht="13.5">
      <c r="A14" s="338"/>
      <c r="B14" s="333"/>
      <c r="C14" s="333"/>
      <c r="D14" s="333"/>
      <c r="E14" s="107" t="s">
        <v>144</v>
      </c>
      <c r="F14" s="14">
        <v>203.72</v>
      </c>
      <c r="G14" s="14">
        <v>180.21</v>
      </c>
      <c r="H14" s="180">
        <v>58</v>
      </c>
      <c r="I14" s="180">
        <v>56</v>
      </c>
      <c r="J14" s="180">
        <v>54.2</v>
      </c>
      <c r="K14" s="180">
        <v>55</v>
      </c>
      <c r="L14" s="141">
        <f t="shared" si="1"/>
        <v>56</v>
      </c>
      <c r="M14" s="180">
        <v>48</v>
      </c>
      <c r="N14" s="180">
        <v>46</v>
      </c>
      <c r="O14" s="172">
        <f t="shared" si="0"/>
        <v>47</v>
      </c>
      <c r="Q14" s="112"/>
      <c r="R14" s="112"/>
      <c r="S14" s="112"/>
      <c r="T14" s="112"/>
      <c r="U14" s="112"/>
      <c r="V14" s="112"/>
    </row>
    <row r="15" spans="1:22" ht="13.5">
      <c r="A15" s="338"/>
      <c r="B15" s="333"/>
      <c r="C15" s="333"/>
      <c r="D15" s="333"/>
      <c r="E15" s="14" t="s">
        <v>145</v>
      </c>
      <c r="F15" s="14">
        <v>203.85</v>
      </c>
      <c r="G15" s="14">
        <v>180.58</v>
      </c>
      <c r="H15" s="180">
        <v>56</v>
      </c>
      <c r="I15" s="180">
        <v>58</v>
      </c>
      <c r="J15" s="180">
        <v>57.3</v>
      </c>
      <c r="K15" s="180">
        <v>57</v>
      </c>
      <c r="L15" s="141">
        <f t="shared" si="1"/>
        <v>57</v>
      </c>
      <c r="M15" s="180">
        <v>51</v>
      </c>
      <c r="N15" s="180">
        <v>50</v>
      </c>
      <c r="O15" s="172">
        <f t="shared" si="0"/>
        <v>51</v>
      </c>
      <c r="Q15" s="112"/>
      <c r="R15" s="112"/>
      <c r="S15" s="112"/>
      <c r="T15" s="112"/>
      <c r="U15" s="112"/>
      <c r="V15" s="112"/>
    </row>
    <row r="16" spans="1:22" ht="13.5">
      <c r="A16" s="338"/>
      <c r="B16" s="333"/>
      <c r="C16" s="333"/>
      <c r="D16" s="337"/>
      <c r="E16" s="341" t="s">
        <v>11</v>
      </c>
      <c r="F16" s="342"/>
      <c r="G16" s="343"/>
      <c r="H16" s="179">
        <f>AVERAGE(H13:H15)</f>
        <v>56.666666666666664</v>
      </c>
      <c r="I16" s="179">
        <f aca="true" t="shared" si="3" ref="I16:N16">AVERAGE(I13:I15)</f>
        <v>56.666666666666664</v>
      </c>
      <c r="J16" s="179">
        <f t="shared" si="3"/>
        <v>56.833333333333336</v>
      </c>
      <c r="K16" s="179">
        <f t="shared" si="3"/>
        <v>55.333333333333336</v>
      </c>
      <c r="L16" s="143">
        <f t="shared" si="1"/>
        <v>56</v>
      </c>
      <c r="M16" s="179">
        <f t="shared" si="3"/>
        <v>49.333333333333336</v>
      </c>
      <c r="N16" s="179">
        <f t="shared" si="3"/>
        <v>47.666666666666664</v>
      </c>
      <c r="O16" s="173">
        <f t="shared" si="0"/>
        <v>49</v>
      </c>
      <c r="Q16" s="112"/>
      <c r="R16" s="112"/>
      <c r="S16" s="112"/>
      <c r="T16" s="112"/>
      <c r="U16" s="112"/>
      <c r="V16" s="112"/>
    </row>
    <row r="17" spans="1:22" ht="13.5">
      <c r="A17" s="338"/>
      <c r="B17" s="333"/>
      <c r="C17" s="333"/>
      <c r="D17" s="332" t="s">
        <v>17</v>
      </c>
      <c r="E17" s="23" t="s">
        <v>147</v>
      </c>
      <c r="F17" s="14">
        <v>203.81</v>
      </c>
      <c r="G17" s="14">
        <v>180.34</v>
      </c>
      <c r="H17" s="116">
        <v>62</v>
      </c>
      <c r="I17" s="116">
        <v>61</v>
      </c>
      <c r="J17" s="116">
        <v>61</v>
      </c>
      <c r="K17" s="116">
        <v>62</v>
      </c>
      <c r="L17" s="117">
        <f t="shared" si="1"/>
        <v>62</v>
      </c>
      <c r="M17" s="144">
        <v>58</v>
      </c>
      <c r="N17" s="144">
        <v>55</v>
      </c>
      <c r="O17" s="172">
        <f t="shared" si="0"/>
        <v>57</v>
      </c>
      <c r="Q17" s="112" t="s">
        <v>43</v>
      </c>
      <c r="R17" s="112">
        <f>COUNTIF($L$17:$L$18,"&lt;=65")</f>
        <v>2</v>
      </c>
      <c r="S17" s="112">
        <f>COUNTIF($O$17:$O$18,"&lt;=55")</f>
        <v>0</v>
      </c>
      <c r="T17" s="112">
        <f>COUNTIF($L$17:$L$18,"&gt;65")</f>
        <v>0</v>
      </c>
      <c r="U17" s="112">
        <f>COUNTIF($O$17:$O$18,"&gt;55")</f>
        <v>2</v>
      </c>
      <c r="V17" s="112"/>
    </row>
    <row r="18" spans="1:22" ht="13.5">
      <c r="A18" s="338"/>
      <c r="B18" s="333"/>
      <c r="C18" s="333"/>
      <c r="D18" s="333"/>
      <c r="E18" s="14" t="s">
        <v>148</v>
      </c>
      <c r="F18" s="14">
        <v>203.83</v>
      </c>
      <c r="G18" s="14">
        <v>180.23</v>
      </c>
      <c r="H18" s="116">
        <v>67</v>
      </c>
      <c r="I18" s="116">
        <v>66</v>
      </c>
      <c r="J18" s="116">
        <v>65</v>
      </c>
      <c r="K18" s="116">
        <v>63</v>
      </c>
      <c r="L18" s="117">
        <f t="shared" si="1"/>
        <v>65</v>
      </c>
      <c r="M18" s="180">
        <v>61</v>
      </c>
      <c r="N18" s="180">
        <v>59</v>
      </c>
      <c r="O18" s="172">
        <f t="shared" si="0"/>
        <v>60</v>
      </c>
      <c r="Q18" s="112"/>
      <c r="R18" s="112"/>
      <c r="S18" s="112"/>
      <c r="T18" s="112"/>
      <c r="U18" s="112"/>
      <c r="V18" s="112"/>
    </row>
    <row r="19" spans="1:22" ht="14.25" thickBot="1">
      <c r="A19" s="339"/>
      <c r="B19" s="334"/>
      <c r="C19" s="334"/>
      <c r="D19" s="334"/>
      <c r="E19" s="350" t="s">
        <v>11</v>
      </c>
      <c r="F19" s="351"/>
      <c r="G19" s="352"/>
      <c r="H19" s="181">
        <f>AVERAGE(H17:H18)</f>
        <v>64.5</v>
      </c>
      <c r="I19" s="181">
        <f aca="true" t="shared" si="4" ref="I19:N19">AVERAGE(I17:I18)</f>
        <v>63.5</v>
      </c>
      <c r="J19" s="181">
        <f t="shared" si="4"/>
        <v>63</v>
      </c>
      <c r="K19" s="181">
        <f t="shared" si="4"/>
        <v>62.5</v>
      </c>
      <c r="L19" s="181">
        <f t="shared" si="1"/>
        <v>63</v>
      </c>
      <c r="M19" s="145">
        <f t="shared" si="4"/>
        <v>59.5</v>
      </c>
      <c r="N19" s="145">
        <f t="shared" si="4"/>
        <v>57</v>
      </c>
      <c r="O19" s="182">
        <f t="shared" si="0"/>
        <v>58</v>
      </c>
      <c r="Q19" s="112"/>
      <c r="R19" s="112"/>
      <c r="S19" s="112"/>
      <c r="T19" s="112"/>
      <c r="U19" s="112"/>
      <c r="V19" s="112"/>
    </row>
    <row r="20" spans="1:22" ht="13.5">
      <c r="A20" s="356" t="s">
        <v>20</v>
      </c>
      <c r="B20" s="353" t="s">
        <v>39</v>
      </c>
      <c r="C20" s="353" t="s">
        <v>41</v>
      </c>
      <c r="D20" s="354" t="s">
        <v>13</v>
      </c>
      <c r="E20" s="19" t="s">
        <v>149</v>
      </c>
      <c r="F20" s="19">
        <v>219.41</v>
      </c>
      <c r="G20" s="19">
        <v>194.11</v>
      </c>
      <c r="H20" s="183">
        <v>56</v>
      </c>
      <c r="I20" s="183">
        <v>54</v>
      </c>
      <c r="J20" s="183">
        <v>55</v>
      </c>
      <c r="K20" s="183">
        <v>53</v>
      </c>
      <c r="L20" s="146">
        <f t="shared" si="1"/>
        <v>55</v>
      </c>
      <c r="M20" s="183">
        <v>52</v>
      </c>
      <c r="N20" s="183">
        <v>50</v>
      </c>
      <c r="O20" s="172">
        <f t="shared" si="0"/>
        <v>51</v>
      </c>
      <c r="Q20" s="112" t="s">
        <v>141</v>
      </c>
      <c r="R20" s="112">
        <f>COUNTIF($L$20:$L$22,"&lt;=55")</f>
        <v>3</v>
      </c>
      <c r="S20" s="112">
        <f>COUNTIF($O$20:$O$22,"&lt;=45")</f>
        <v>0</v>
      </c>
      <c r="T20" s="112">
        <f>COUNTIF($L$20:$L$22,"&gt;55")</f>
        <v>0</v>
      </c>
      <c r="U20" s="112">
        <f>COUNTIF($O$20:$O$22,"&gt;45")</f>
        <v>3</v>
      </c>
      <c r="V20" s="112"/>
    </row>
    <row r="21" spans="1:22" ht="13.5">
      <c r="A21" s="338"/>
      <c r="B21" s="333"/>
      <c r="C21" s="333"/>
      <c r="D21" s="333"/>
      <c r="E21" s="14" t="s">
        <v>150</v>
      </c>
      <c r="F21" s="14">
        <v>219.53</v>
      </c>
      <c r="G21" s="14">
        <v>194.25</v>
      </c>
      <c r="H21" s="142">
        <v>52</v>
      </c>
      <c r="I21" s="142">
        <v>53</v>
      </c>
      <c r="J21" s="142">
        <v>53</v>
      </c>
      <c r="K21" s="142">
        <v>53</v>
      </c>
      <c r="L21" s="141">
        <f t="shared" si="1"/>
        <v>53</v>
      </c>
      <c r="M21" s="142">
        <v>51</v>
      </c>
      <c r="N21" s="142">
        <v>48</v>
      </c>
      <c r="O21" s="172">
        <f t="shared" si="0"/>
        <v>50</v>
      </c>
      <c r="Q21" s="112"/>
      <c r="R21" s="112"/>
      <c r="S21" s="112"/>
      <c r="T21" s="112"/>
      <c r="U21" s="112"/>
      <c r="V21" s="112"/>
    </row>
    <row r="22" spans="1:22" ht="13.5">
      <c r="A22" s="338"/>
      <c r="B22" s="333"/>
      <c r="C22" s="333"/>
      <c r="D22" s="333"/>
      <c r="E22" s="14" t="s">
        <v>22</v>
      </c>
      <c r="F22" s="14">
        <v>219.47</v>
      </c>
      <c r="G22" s="14">
        <v>194.06</v>
      </c>
      <c r="H22" s="142">
        <v>54</v>
      </c>
      <c r="I22" s="142">
        <v>55</v>
      </c>
      <c r="J22" s="142">
        <v>54</v>
      </c>
      <c r="K22" s="142">
        <v>53</v>
      </c>
      <c r="L22" s="141">
        <f t="shared" si="1"/>
        <v>54</v>
      </c>
      <c r="M22" s="142">
        <v>53</v>
      </c>
      <c r="N22" s="142">
        <v>48</v>
      </c>
      <c r="O22" s="172">
        <f t="shared" si="0"/>
        <v>51</v>
      </c>
      <c r="Q22" s="112"/>
      <c r="R22" s="112"/>
      <c r="S22" s="112"/>
      <c r="T22" s="112"/>
      <c r="U22" s="112"/>
      <c r="V22" s="112"/>
    </row>
    <row r="23" spans="1:22" ht="13.5">
      <c r="A23" s="338"/>
      <c r="B23" s="333"/>
      <c r="C23" s="333"/>
      <c r="D23" s="337"/>
      <c r="E23" s="341" t="s">
        <v>11</v>
      </c>
      <c r="F23" s="342"/>
      <c r="G23" s="343"/>
      <c r="H23" s="179">
        <f>AVERAGE(H20:H22)</f>
        <v>54</v>
      </c>
      <c r="I23" s="179">
        <f>AVERAGE(I20:I22)</f>
        <v>54</v>
      </c>
      <c r="J23" s="179">
        <f>AVERAGE(J20:J22)</f>
        <v>54</v>
      </c>
      <c r="K23" s="179">
        <f>AVERAGE(K20:K22)</f>
        <v>53</v>
      </c>
      <c r="L23" s="143">
        <f t="shared" si="1"/>
        <v>54</v>
      </c>
      <c r="M23" s="179">
        <f>AVERAGE(M20:M22)</f>
        <v>52</v>
      </c>
      <c r="N23" s="179">
        <f>AVERAGE(N20:N22)</f>
        <v>48.666666666666664</v>
      </c>
      <c r="O23" s="173">
        <f t="shared" si="0"/>
        <v>50</v>
      </c>
      <c r="Q23" s="112"/>
      <c r="R23" s="112"/>
      <c r="S23" s="112"/>
      <c r="T23" s="112"/>
      <c r="U23" s="112"/>
      <c r="V23" s="112"/>
    </row>
    <row r="24" spans="1:22" ht="13.5">
      <c r="A24" s="338"/>
      <c r="B24" s="333"/>
      <c r="C24" s="333"/>
      <c r="D24" s="332" t="s">
        <v>17</v>
      </c>
      <c r="E24" s="14" t="s">
        <v>151</v>
      </c>
      <c r="F24" s="14">
        <v>219.62</v>
      </c>
      <c r="G24" s="14">
        <v>194.32</v>
      </c>
      <c r="H24" s="142">
        <v>68</v>
      </c>
      <c r="I24" s="142">
        <v>69</v>
      </c>
      <c r="J24" s="142">
        <v>66</v>
      </c>
      <c r="K24" s="142">
        <v>68</v>
      </c>
      <c r="L24" s="141">
        <f>ROUND(AVERAGE(H24:K24),0)</f>
        <v>68</v>
      </c>
      <c r="M24" s="142">
        <v>67</v>
      </c>
      <c r="N24" s="142">
        <v>63</v>
      </c>
      <c r="O24" s="172">
        <f t="shared" si="0"/>
        <v>65</v>
      </c>
      <c r="Q24" s="112" t="s">
        <v>43</v>
      </c>
      <c r="R24" s="112">
        <f>COUNTIF($L$24:$L$25,"&lt;=65")</f>
        <v>0</v>
      </c>
      <c r="S24" s="112">
        <f>COUNTIF($O$24:$O$25,"&lt;=55")</f>
        <v>0</v>
      </c>
      <c r="T24" s="112">
        <f>COUNTIF($L$24:$L$25,"&gt;65")</f>
        <v>2</v>
      </c>
      <c r="U24" s="112">
        <f>COUNTIF($O$24:$O$25,"&gt;55")</f>
        <v>2</v>
      </c>
      <c r="V24" s="112"/>
    </row>
    <row r="25" spans="1:22" ht="13.5">
      <c r="A25" s="338"/>
      <c r="B25" s="333"/>
      <c r="C25" s="333"/>
      <c r="D25" s="333"/>
      <c r="E25" s="14" t="s">
        <v>152</v>
      </c>
      <c r="F25" s="14">
        <v>219.65</v>
      </c>
      <c r="G25" s="14">
        <v>194.11</v>
      </c>
      <c r="H25" s="142">
        <v>69</v>
      </c>
      <c r="I25" s="142">
        <v>69</v>
      </c>
      <c r="J25" s="142">
        <v>67</v>
      </c>
      <c r="K25" s="142">
        <v>68</v>
      </c>
      <c r="L25" s="141">
        <f t="shared" si="1"/>
        <v>68</v>
      </c>
      <c r="M25" s="142">
        <v>66</v>
      </c>
      <c r="N25" s="142">
        <v>62</v>
      </c>
      <c r="O25" s="172">
        <f t="shared" si="0"/>
        <v>64</v>
      </c>
      <c r="Q25" s="112"/>
      <c r="R25" s="112"/>
      <c r="S25" s="112"/>
      <c r="T25" s="112"/>
      <c r="U25" s="112"/>
      <c r="V25" s="112"/>
    </row>
    <row r="26" spans="1:22" ht="13.5">
      <c r="A26" s="338"/>
      <c r="B26" s="337"/>
      <c r="C26" s="337"/>
      <c r="D26" s="337"/>
      <c r="E26" s="341" t="s">
        <v>11</v>
      </c>
      <c r="F26" s="342"/>
      <c r="G26" s="343"/>
      <c r="H26" s="179">
        <f>AVERAGE(H24:H25)</f>
        <v>68.5</v>
      </c>
      <c r="I26" s="179">
        <f>AVERAGE(I24:I25)</f>
        <v>69</v>
      </c>
      <c r="J26" s="179">
        <f>AVERAGE(J24:J25)</f>
        <v>66.5</v>
      </c>
      <c r="K26" s="179">
        <f>AVERAGE(K24:K25)</f>
        <v>68</v>
      </c>
      <c r="L26" s="143">
        <f t="shared" si="1"/>
        <v>68</v>
      </c>
      <c r="M26" s="179">
        <f>AVERAGE(M24:M25)</f>
        <v>66.5</v>
      </c>
      <c r="N26" s="179">
        <f>AVERAGE(N24:N25)</f>
        <v>62.5</v>
      </c>
      <c r="O26" s="173">
        <f t="shared" si="0"/>
        <v>65</v>
      </c>
      <c r="Q26" s="112"/>
      <c r="R26" s="112"/>
      <c r="S26" s="112"/>
      <c r="T26" s="112"/>
      <c r="U26" s="112"/>
      <c r="V26" s="112"/>
    </row>
    <row r="27" spans="1:22" ht="13.5">
      <c r="A27" s="338"/>
      <c r="B27" s="335" t="s">
        <v>40</v>
      </c>
      <c r="C27" s="335" t="s">
        <v>42</v>
      </c>
      <c r="D27" s="332" t="s">
        <v>13</v>
      </c>
      <c r="E27" s="22" t="s">
        <v>192</v>
      </c>
      <c r="F27" s="14">
        <v>205.22</v>
      </c>
      <c r="G27" s="14">
        <v>189.58</v>
      </c>
      <c r="H27" s="142">
        <v>58</v>
      </c>
      <c r="I27" s="142">
        <v>61.2</v>
      </c>
      <c r="J27" s="142">
        <v>60</v>
      </c>
      <c r="K27" s="142">
        <v>58</v>
      </c>
      <c r="L27" s="141">
        <f t="shared" si="1"/>
        <v>59</v>
      </c>
      <c r="M27" s="142">
        <v>54</v>
      </c>
      <c r="N27" s="142">
        <v>52</v>
      </c>
      <c r="O27" s="172">
        <f t="shared" si="0"/>
        <v>53</v>
      </c>
      <c r="Q27" s="112" t="s">
        <v>141</v>
      </c>
      <c r="R27" s="112">
        <f>COUNTIF($L$27:$L$29,"&lt;=55")</f>
        <v>1</v>
      </c>
      <c r="S27" s="112">
        <f>COUNTIF($O$27:$O$29,"&lt;=45")</f>
        <v>0</v>
      </c>
      <c r="T27" s="112">
        <f>COUNTIF($L$27:$L$29,"&gt;55")</f>
        <v>2</v>
      </c>
      <c r="U27" s="112">
        <f>COUNTIF($O$27:$O$29,"&gt;45")</f>
        <v>3</v>
      </c>
      <c r="V27" s="112"/>
    </row>
    <row r="28" spans="1:22" ht="13.5">
      <c r="A28" s="338"/>
      <c r="B28" s="333"/>
      <c r="C28" s="333"/>
      <c r="D28" s="333"/>
      <c r="E28" s="22" t="s">
        <v>188</v>
      </c>
      <c r="F28" s="14">
        <v>205.25</v>
      </c>
      <c r="G28" s="14">
        <v>188.45</v>
      </c>
      <c r="H28" s="142">
        <v>59</v>
      </c>
      <c r="I28" s="142">
        <v>55</v>
      </c>
      <c r="J28" s="142">
        <v>58</v>
      </c>
      <c r="K28" s="142">
        <v>59</v>
      </c>
      <c r="L28" s="141">
        <f t="shared" si="1"/>
        <v>58</v>
      </c>
      <c r="M28" s="142">
        <v>55</v>
      </c>
      <c r="N28" s="142">
        <v>53</v>
      </c>
      <c r="O28" s="172">
        <f t="shared" si="0"/>
        <v>54</v>
      </c>
      <c r="Q28" s="112"/>
      <c r="R28" s="112"/>
      <c r="S28" s="112"/>
      <c r="T28" s="112"/>
      <c r="U28" s="112"/>
      <c r="V28" s="112"/>
    </row>
    <row r="29" spans="1:22" ht="13.5">
      <c r="A29" s="338"/>
      <c r="B29" s="333"/>
      <c r="C29" s="333"/>
      <c r="D29" s="333"/>
      <c r="E29" s="14" t="s">
        <v>23</v>
      </c>
      <c r="F29" s="14">
        <v>205.15</v>
      </c>
      <c r="G29" s="14">
        <v>189.52</v>
      </c>
      <c r="H29" s="142">
        <v>53</v>
      </c>
      <c r="I29" s="142">
        <v>50</v>
      </c>
      <c r="J29" s="142">
        <v>52</v>
      </c>
      <c r="K29" s="142">
        <v>54</v>
      </c>
      <c r="L29" s="141">
        <f t="shared" si="1"/>
        <v>52</v>
      </c>
      <c r="M29" s="142">
        <v>51</v>
      </c>
      <c r="N29" s="142">
        <v>49</v>
      </c>
      <c r="O29" s="172">
        <f t="shared" si="0"/>
        <v>50</v>
      </c>
      <c r="Q29" s="112"/>
      <c r="R29" s="112"/>
      <c r="S29" s="112"/>
      <c r="T29" s="112"/>
      <c r="U29" s="112"/>
      <c r="V29" s="112"/>
    </row>
    <row r="30" spans="1:22" ht="13.5">
      <c r="A30" s="338"/>
      <c r="B30" s="333"/>
      <c r="C30" s="333"/>
      <c r="D30" s="337"/>
      <c r="E30" s="341" t="s">
        <v>11</v>
      </c>
      <c r="F30" s="342"/>
      <c r="G30" s="343"/>
      <c r="H30" s="179">
        <f>AVERAGE(H27:H29)</f>
        <v>56.666666666666664</v>
      </c>
      <c r="I30" s="179">
        <f aca="true" t="shared" si="5" ref="I30:N30">AVERAGE(I27:I29)</f>
        <v>55.4</v>
      </c>
      <c r="J30" s="179">
        <f t="shared" si="5"/>
        <v>56.666666666666664</v>
      </c>
      <c r="K30" s="179">
        <f t="shared" si="5"/>
        <v>57</v>
      </c>
      <c r="L30" s="143">
        <f t="shared" si="1"/>
        <v>56</v>
      </c>
      <c r="M30" s="179">
        <f t="shared" si="5"/>
        <v>53.333333333333336</v>
      </c>
      <c r="N30" s="179">
        <f t="shared" si="5"/>
        <v>51.333333333333336</v>
      </c>
      <c r="O30" s="173">
        <f t="shared" si="0"/>
        <v>52</v>
      </c>
      <c r="Q30" s="112"/>
      <c r="R30" s="112"/>
      <c r="S30" s="112"/>
      <c r="T30" s="112"/>
      <c r="U30" s="112"/>
      <c r="V30" s="112"/>
    </row>
    <row r="31" spans="1:22" ht="13.5">
      <c r="A31" s="338"/>
      <c r="B31" s="333"/>
      <c r="C31" s="333"/>
      <c r="D31" s="332" t="s">
        <v>43</v>
      </c>
      <c r="E31" s="23" t="s">
        <v>153</v>
      </c>
      <c r="F31" s="14">
        <v>205.36</v>
      </c>
      <c r="G31" s="14">
        <v>189.48</v>
      </c>
      <c r="H31" s="142">
        <v>69</v>
      </c>
      <c r="I31" s="142">
        <v>67</v>
      </c>
      <c r="J31" s="142">
        <v>68</v>
      </c>
      <c r="K31" s="142">
        <v>68</v>
      </c>
      <c r="L31" s="141">
        <f t="shared" si="1"/>
        <v>68</v>
      </c>
      <c r="M31" s="142">
        <v>65</v>
      </c>
      <c r="N31" s="142">
        <v>64</v>
      </c>
      <c r="O31" s="172">
        <f t="shared" si="0"/>
        <v>65</v>
      </c>
      <c r="Q31" s="112" t="s">
        <v>43</v>
      </c>
      <c r="R31" s="112">
        <f>COUNTIF($L$31:$L$32,"&lt;=65")</f>
        <v>0</v>
      </c>
      <c r="S31" s="112">
        <f>COUNTIF($O$31:$O$32,"&lt;=55")</f>
        <v>0</v>
      </c>
      <c r="T31" s="112">
        <f>COUNTIF($L$31:$L$32,"&gt;65")</f>
        <v>2</v>
      </c>
      <c r="U31" s="112">
        <f>COUNTIF($O$31:$O$32,"&gt;55")</f>
        <v>2</v>
      </c>
      <c r="V31" s="112"/>
    </row>
    <row r="32" spans="1:22" ht="13.5">
      <c r="A32" s="338"/>
      <c r="B32" s="333"/>
      <c r="C32" s="333"/>
      <c r="D32" s="333"/>
      <c r="E32" s="14" t="s">
        <v>154</v>
      </c>
      <c r="F32" s="14">
        <v>205.33</v>
      </c>
      <c r="G32" s="14">
        <v>189.61</v>
      </c>
      <c r="H32" s="142">
        <v>69</v>
      </c>
      <c r="I32" s="142">
        <v>66</v>
      </c>
      <c r="J32" s="142">
        <v>70</v>
      </c>
      <c r="K32" s="142">
        <v>68</v>
      </c>
      <c r="L32" s="141">
        <f t="shared" si="1"/>
        <v>68</v>
      </c>
      <c r="M32" s="142">
        <v>64</v>
      </c>
      <c r="N32" s="142">
        <v>63</v>
      </c>
      <c r="O32" s="172">
        <f t="shared" si="0"/>
        <v>64</v>
      </c>
      <c r="Q32" s="112"/>
      <c r="R32" s="112"/>
      <c r="S32" s="112"/>
      <c r="T32" s="112"/>
      <c r="U32" s="112"/>
      <c r="V32" s="112"/>
    </row>
    <row r="33" spans="1:22" ht="13.5">
      <c r="A33" s="338"/>
      <c r="B33" s="337"/>
      <c r="C33" s="337"/>
      <c r="D33" s="337"/>
      <c r="E33" s="341" t="s">
        <v>11</v>
      </c>
      <c r="F33" s="342"/>
      <c r="G33" s="343"/>
      <c r="H33" s="179">
        <f>AVERAGE(H31:H32)</f>
        <v>69</v>
      </c>
      <c r="I33" s="179">
        <f aca="true" t="shared" si="6" ref="I33:N33">AVERAGE(I31:I32)</f>
        <v>66.5</v>
      </c>
      <c r="J33" s="179">
        <f t="shared" si="6"/>
        <v>69</v>
      </c>
      <c r="K33" s="179">
        <f t="shared" si="6"/>
        <v>68</v>
      </c>
      <c r="L33" s="143">
        <f t="shared" si="1"/>
        <v>68</v>
      </c>
      <c r="M33" s="179">
        <f>AVERAGE(M31:M32)</f>
        <v>64.5</v>
      </c>
      <c r="N33" s="179">
        <f t="shared" si="6"/>
        <v>63.5</v>
      </c>
      <c r="O33" s="173">
        <f t="shared" si="0"/>
        <v>64</v>
      </c>
      <c r="Q33" s="112"/>
      <c r="R33" s="112"/>
      <c r="S33" s="112"/>
      <c r="T33" s="112"/>
      <c r="U33" s="112"/>
      <c r="V33" s="112"/>
    </row>
    <row r="34" spans="1:22" ht="13.5">
      <c r="A34" s="338"/>
      <c r="B34" s="335" t="s">
        <v>49</v>
      </c>
      <c r="C34" s="335" t="s">
        <v>46</v>
      </c>
      <c r="D34" s="332" t="s">
        <v>13</v>
      </c>
      <c r="E34" s="22" t="s">
        <v>24</v>
      </c>
      <c r="F34" s="14">
        <v>201.37</v>
      </c>
      <c r="G34" s="14">
        <v>189.58</v>
      </c>
      <c r="H34" s="142">
        <v>55</v>
      </c>
      <c r="I34" s="142">
        <v>54</v>
      </c>
      <c r="J34" s="142">
        <v>55</v>
      </c>
      <c r="K34" s="142">
        <v>54</v>
      </c>
      <c r="L34" s="141">
        <f t="shared" si="1"/>
        <v>55</v>
      </c>
      <c r="M34" s="142">
        <v>50</v>
      </c>
      <c r="N34" s="142">
        <v>49</v>
      </c>
      <c r="O34" s="172">
        <f t="shared" si="0"/>
        <v>50</v>
      </c>
      <c r="Q34" s="112" t="s">
        <v>141</v>
      </c>
      <c r="R34" s="112">
        <f>COUNTIF($L$34:$L$36,"&lt;=55")</f>
        <v>2</v>
      </c>
      <c r="S34" s="112">
        <f>COUNTIF($O$34:$O$36,"&lt;=45")</f>
        <v>0</v>
      </c>
      <c r="T34" s="112">
        <f>COUNTIF($L$34:$L$36,"&gt;55")</f>
        <v>1</v>
      </c>
      <c r="U34" s="112">
        <f>COUNTIF($O$34:$O$36,"&gt;45")</f>
        <v>3</v>
      </c>
      <c r="V34" s="112"/>
    </row>
    <row r="35" spans="1:22" ht="13.5">
      <c r="A35" s="338"/>
      <c r="B35" s="333"/>
      <c r="C35" s="333"/>
      <c r="D35" s="333"/>
      <c r="E35" s="23" t="s">
        <v>155</v>
      </c>
      <c r="F35" s="14">
        <v>201.44</v>
      </c>
      <c r="G35" s="14">
        <v>188.45</v>
      </c>
      <c r="H35" s="142">
        <v>54</v>
      </c>
      <c r="I35" s="142">
        <v>53</v>
      </c>
      <c r="J35" s="142">
        <v>53</v>
      </c>
      <c r="K35" s="142">
        <v>52</v>
      </c>
      <c r="L35" s="141">
        <f t="shared" si="1"/>
        <v>53</v>
      </c>
      <c r="M35" s="142">
        <v>50</v>
      </c>
      <c r="N35" s="142">
        <v>48</v>
      </c>
      <c r="O35" s="172">
        <f t="shared" si="0"/>
        <v>49</v>
      </c>
      <c r="Q35" s="112"/>
      <c r="R35" s="112"/>
      <c r="S35" s="112"/>
      <c r="T35" s="112"/>
      <c r="U35" s="112"/>
      <c r="V35" s="112"/>
    </row>
    <row r="36" spans="1:22" ht="13.5">
      <c r="A36" s="338"/>
      <c r="B36" s="333"/>
      <c r="C36" s="333"/>
      <c r="D36" s="333"/>
      <c r="E36" s="22" t="s">
        <v>25</v>
      </c>
      <c r="F36" s="14">
        <v>201.51</v>
      </c>
      <c r="G36" s="14">
        <v>190.54</v>
      </c>
      <c r="H36" s="142">
        <v>59</v>
      </c>
      <c r="I36" s="142">
        <v>57</v>
      </c>
      <c r="J36" s="142">
        <v>58</v>
      </c>
      <c r="K36" s="142">
        <v>55</v>
      </c>
      <c r="L36" s="141">
        <f t="shared" si="1"/>
        <v>57</v>
      </c>
      <c r="M36" s="142">
        <v>54</v>
      </c>
      <c r="N36" s="142">
        <v>53</v>
      </c>
      <c r="O36" s="172">
        <f t="shared" si="0"/>
        <v>54</v>
      </c>
      <c r="Q36" s="112"/>
      <c r="R36" s="112"/>
      <c r="S36" s="112"/>
      <c r="T36" s="112"/>
      <c r="U36" s="112"/>
      <c r="V36" s="112"/>
    </row>
    <row r="37" spans="1:22" ht="13.5">
      <c r="A37" s="338"/>
      <c r="B37" s="333"/>
      <c r="C37" s="333"/>
      <c r="D37" s="337"/>
      <c r="E37" s="341" t="s">
        <v>11</v>
      </c>
      <c r="F37" s="342"/>
      <c r="G37" s="343"/>
      <c r="H37" s="179">
        <f>AVERAGE(H34:H36)</f>
        <v>56</v>
      </c>
      <c r="I37" s="179">
        <f>AVERAGE(I34:I36)</f>
        <v>54.666666666666664</v>
      </c>
      <c r="J37" s="179">
        <f>AVERAGE(J34:J36)</f>
        <v>55.333333333333336</v>
      </c>
      <c r="K37" s="179">
        <f>AVERAGE(K34:K36)</f>
        <v>53.666666666666664</v>
      </c>
      <c r="L37" s="143">
        <f t="shared" si="1"/>
        <v>55</v>
      </c>
      <c r="M37" s="179">
        <f>AVERAGE(M34:M36)</f>
        <v>51.333333333333336</v>
      </c>
      <c r="N37" s="179">
        <f>AVERAGE(N34:N36)</f>
        <v>50</v>
      </c>
      <c r="O37" s="173">
        <f t="shared" si="0"/>
        <v>51</v>
      </c>
      <c r="Q37" s="112"/>
      <c r="R37" s="112"/>
      <c r="S37" s="112"/>
      <c r="T37" s="112"/>
      <c r="U37" s="112"/>
      <c r="V37" s="112"/>
    </row>
    <row r="38" spans="1:22" ht="13.5">
      <c r="A38" s="338"/>
      <c r="B38" s="333"/>
      <c r="C38" s="333"/>
      <c r="D38" s="332" t="s">
        <v>17</v>
      </c>
      <c r="E38" s="22" t="s">
        <v>26</v>
      </c>
      <c r="F38" s="14">
        <v>201.53</v>
      </c>
      <c r="G38" s="14">
        <v>189.48</v>
      </c>
      <c r="H38" s="142">
        <v>72</v>
      </c>
      <c r="I38" s="142">
        <v>71</v>
      </c>
      <c r="J38" s="142">
        <v>69</v>
      </c>
      <c r="K38" s="142">
        <v>69</v>
      </c>
      <c r="L38" s="141">
        <f t="shared" si="1"/>
        <v>70</v>
      </c>
      <c r="M38" s="142">
        <v>68</v>
      </c>
      <c r="N38" s="142">
        <v>66</v>
      </c>
      <c r="O38" s="172">
        <f t="shared" si="0"/>
        <v>67</v>
      </c>
      <c r="Q38" s="112" t="s">
        <v>43</v>
      </c>
      <c r="R38" s="112">
        <f>COUNTIF($L$38:$L$39,"&lt;=65")</f>
        <v>0</v>
      </c>
      <c r="S38" s="112">
        <f>COUNTIF($O$38:$O$39,"&lt;=55")</f>
        <v>0</v>
      </c>
      <c r="T38" s="112">
        <f>COUNTIF($L$38:$L$39,"&gt;65")</f>
        <v>2</v>
      </c>
      <c r="U38" s="112">
        <f>COUNTIF($O$38:$O$39,"&gt;55")</f>
        <v>2</v>
      </c>
      <c r="V38" s="112"/>
    </row>
    <row r="39" spans="1:22" ht="13.5">
      <c r="A39" s="338"/>
      <c r="B39" s="333"/>
      <c r="C39" s="333"/>
      <c r="D39" s="333"/>
      <c r="E39" s="22" t="s">
        <v>27</v>
      </c>
      <c r="F39" s="14">
        <v>201.39</v>
      </c>
      <c r="G39" s="14">
        <v>189.61</v>
      </c>
      <c r="H39" s="142">
        <v>71</v>
      </c>
      <c r="I39" s="142">
        <v>71</v>
      </c>
      <c r="J39" s="142">
        <v>69</v>
      </c>
      <c r="K39" s="142">
        <v>69</v>
      </c>
      <c r="L39" s="141">
        <f t="shared" si="1"/>
        <v>70</v>
      </c>
      <c r="M39" s="142">
        <v>69</v>
      </c>
      <c r="N39" s="142">
        <v>66</v>
      </c>
      <c r="O39" s="172">
        <f t="shared" si="0"/>
        <v>68</v>
      </c>
      <c r="Q39" s="112"/>
      <c r="R39" s="112"/>
      <c r="S39" s="112"/>
      <c r="T39" s="112"/>
      <c r="U39" s="112"/>
      <c r="V39" s="112"/>
    </row>
    <row r="40" spans="1:22" ht="14.25" thickBot="1">
      <c r="A40" s="339"/>
      <c r="B40" s="334"/>
      <c r="C40" s="334"/>
      <c r="D40" s="334"/>
      <c r="E40" s="350" t="s">
        <v>11</v>
      </c>
      <c r="F40" s="351"/>
      <c r="G40" s="352"/>
      <c r="H40" s="145">
        <f>AVERAGE(H38:H39)</f>
        <v>71.5</v>
      </c>
      <c r="I40" s="145">
        <f aca="true" t="shared" si="7" ref="I40:N40">AVERAGE(I38:I39)</f>
        <v>71</v>
      </c>
      <c r="J40" s="145">
        <f t="shared" si="7"/>
        <v>69</v>
      </c>
      <c r="K40" s="145">
        <f t="shared" si="7"/>
        <v>69</v>
      </c>
      <c r="L40" s="145">
        <f t="shared" si="1"/>
        <v>70</v>
      </c>
      <c r="M40" s="145">
        <f t="shared" si="7"/>
        <v>68.5</v>
      </c>
      <c r="N40" s="145">
        <f t="shared" si="7"/>
        <v>66</v>
      </c>
      <c r="O40" s="182">
        <f t="shared" si="0"/>
        <v>67</v>
      </c>
      <c r="Q40" s="112"/>
      <c r="R40" s="112"/>
      <c r="S40" s="112"/>
      <c r="T40" s="112"/>
      <c r="U40" s="112"/>
      <c r="V40" s="112"/>
    </row>
    <row r="41" spans="1:22" ht="13.5">
      <c r="A41" s="338" t="s">
        <v>28</v>
      </c>
      <c r="B41" s="336" t="s">
        <v>50</v>
      </c>
      <c r="C41" s="336" t="s">
        <v>47</v>
      </c>
      <c r="D41" s="333" t="s">
        <v>13</v>
      </c>
      <c r="E41" s="24" t="s">
        <v>156</v>
      </c>
      <c r="F41" s="21">
        <v>214.82</v>
      </c>
      <c r="G41" s="21">
        <v>184.54</v>
      </c>
      <c r="H41" s="141">
        <v>56</v>
      </c>
      <c r="I41" s="141">
        <v>54</v>
      </c>
      <c r="J41" s="141">
        <v>56</v>
      </c>
      <c r="K41" s="141">
        <v>54</v>
      </c>
      <c r="L41" s="141">
        <f>ROUND(AVERAGE(H41:K41),0)</f>
        <v>55</v>
      </c>
      <c r="M41" s="141">
        <v>55</v>
      </c>
      <c r="N41" s="141">
        <v>50</v>
      </c>
      <c r="O41" s="172">
        <f t="shared" si="0"/>
        <v>53</v>
      </c>
      <c r="Q41" s="112" t="s">
        <v>141</v>
      </c>
      <c r="R41" s="112">
        <f>COUNTIF($L$41:$L$43,"&lt;=65")</f>
        <v>3</v>
      </c>
      <c r="S41" s="112">
        <f>COUNTIF($O$41:$O$43,"&lt;=55")</f>
        <v>3</v>
      </c>
      <c r="T41" s="112">
        <f>COUNTIF($L$41:$L$43,"&gt;65")</f>
        <v>0</v>
      </c>
      <c r="U41" s="112">
        <f>COUNTIF($O$41:$O$43,"&gt;55")</f>
        <v>0</v>
      </c>
      <c r="V41" s="112"/>
    </row>
    <row r="42" spans="1:22" ht="13.5">
      <c r="A42" s="338"/>
      <c r="B42" s="333"/>
      <c r="C42" s="333"/>
      <c r="D42" s="333"/>
      <c r="E42" s="23" t="s">
        <v>160</v>
      </c>
      <c r="F42" s="14">
        <v>214.94</v>
      </c>
      <c r="G42" s="14">
        <v>184.51</v>
      </c>
      <c r="H42" s="142">
        <v>58</v>
      </c>
      <c r="I42" s="142">
        <v>56</v>
      </c>
      <c r="J42" s="142">
        <v>58</v>
      </c>
      <c r="K42" s="142">
        <v>59</v>
      </c>
      <c r="L42" s="141">
        <f t="shared" si="1"/>
        <v>58</v>
      </c>
      <c r="M42" s="142">
        <v>57</v>
      </c>
      <c r="N42" s="142">
        <v>51</v>
      </c>
      <c r="O42" s="172">
        <f t="shared" si="0"/>
        <v>54</v>
      </c>
      <c r="Q42" s="112"/>
      <c r="R42" s="112"/>
      <c r="S42" s="112"/>
      <c r="T42" s="112"/>
      <c r="U42" s="112"/>
      <c r="V42" s="112"/>
    </row>
    <row r="43" spans="1:22" ht="13.5">
      <c r="A43" s="338"/>
      <c r="B43" s="333"/>
      <c r="C43" s="333"/>
      <c r="D43" s="333"/>
      <c r="E43" s="23" t="s">
        <v>45</v>
      </c>
      <c r="F43" s="14">
        <v>214.95</v>
      </c>
      <c r="G43" s="14">
        <v>184.58</v>
      </c>
      <c r="H43" s="142">
        <v>57</v>
      </c>
      <c r="I43" s="142">
        <v>55</v>
      </c>
      <c r="J43" s="142">
        <v>59</v>
      </c>
      <c r="K43" s="142">
        <v>59</v>
      </c>
      <c r="L43" s="141">
        <f t="shared" si="1"/>
        <v>58</v>
      </c>
      <c r="M43" s="142">
        <v>56</v>
      </c>
      <c r="N43" s="142">
        <v>51</v>
      </c>
      <c r="O43" s="172">
        <f t="shared" si="0"/>
        <v>54</v>
      </c>
      <c r="Q43" s="112"/>
      <c r="R43" s="112"/>
      <c r="S43" s="112"/>
      <c r="T43" s="112"/>
      <c r="U43" s="112"/>
      <c r="V43" s="112"/>
    </row>
    <row r="44" spans="1:22" ht="13.5">
      <c r="A44" s="338"/>
      <c r="B44" s="333"/>
      <c r="C44" s="333"/>
      <c r="D44" s="337"/>
      <c r="E44" s="341" t="s">
        <v>11</v>
      </c>
      <c r="F44" s="342"/>
      <c r="G44" s="343"/>
      <c r="H44" s="179">
        <f>AVERAGE(H41:H43)</f>
        <v>57</v>
      </c>
      <c r="I44" s="179">
        <f>AVERAGE(I41:I43)</f>
        <v>55</v>
      </c>
      <c r="J44" s="179">
        <f>AVERAGE(J41:J43)</f>
        <v>57.666666666666664</v>
      </c>
      <c r="K44" s="179">
        <f>AVERAGE(K41:K43)</f>
        <v>57.333333333333336</v>
      </c>
      <c r="L44" s="143">
        <f t="shared" si="1"/>
        <v>57</v>
      </c>
      <c r="M44" s="179">
        <f>AVERAGE(M41:M43)</f>
        <v>56</v>
      </c>
      <c r="N44" s="179">
        <f>AVERAGE(N41:N43)</f>
        <v>50.666666666666664</v>
      </c>
      <c r="O44" s="173">
        <f t="shared" si="0"/>
        <v>53</v>
      </c>
      <c r="Q44" s="112"/>
      <c r="R44" s="112"/>
      <c r="S44" s="112"/>
      <c r="T44" s="112"/>
      <c r="U44" s="112"/>
      <c r="V44" s="112"/>
    </row>
    <row r="45" spans="1:22" ht="13.5">
      <c r="A45" s="338"/>
      <c r="B45" s="333"/>
      <c r="C45" s="333"/>
      <c r="D45" s="332" t="s">
        <v>17</v>
      </c>
      <c r="E45" s="22" t="s">
        <v>161</v>
      </c>
      <c r="F45" s="14">
        <v>214.69</v>
      </c>
      <c r="G45" s="14">
        <v>184.48</v>
      </c>
      <c r="H45" s="142">
        <v>68</v>
      </c>
      <c r="I45" s="142">
        <v>68</v>
      </c>
      <c r="J45" s="142">
        <v>67</v>
      </c>
      <c r="K45" s="142">
        <v>67</v>
      </c>
      <c r="L45" s="141">
        <f t="shared" si="1"/>
        <v>68</v>
      </c>
      <c r="M45" s="142">
        <v>66.6</v>
      </c>
      <c r="N45" s="142">
        <v>67</v>
      </c>
      <c r="O45" s="172">
        <f t="shared" si="0"/>
        <v>67</v>
      </c>
      <c r="Q45" s="112" t="s">
        <v>43</v>
      </c>
      <c r="R45" s="112">
        <f>COUNTIF($L$45:$L$46,"&lt;=70")</f>
        <v>2</v>
      </c>
      <c r="S45" s="112">
        <f>COUNTIF($O$45:$O$46,"&lt;=60")</f>
        <v>0</v>
      </c>
      <c r="T45" s="112">
        <f>COUNTIF($L$45:$L$46,"&gt;70")</f>
        <v>0</v>
      </c>
      <c r="U45" s="112">
        <f>COUNTIF($O$45:$O$46,"&gt;60")</f>
        <v>2</v>
      </c>
      <c r="V45" s="112"/>
    </row>
    <row r="46" spans="1:22" ht="13.5">
      <c r="A46" s="338"/>
      <c r="B46" s="333"/>
      <c r="C46" s="333"/>
      <c r="D46" s="333"/>
      <c r="E46" s="22" t="s">
        <v>162</v>
      </c>
      <c r="F46" s="14">
        <v>214.85</v>
      </c>
      <c r="G46" s="14">
        <v>184.62</v>
      </c>
      <c r="H46" s="142">
        <v>69</v>
      </c>
      <c r="I46" s="142">
        <v>68</v>
      </c>
      <c r="J46" s="142">
        <v>66</v>
      </c>
      <c r="K46" s="142">
        <v>68</v>
      </c>
      <c r="L46" s="141">
        <f t="shared" si="1"/>
        <v>68</v>
      </c>
      <c r="M46" s="142">
        <v>67.2</v>
      </c>
      <c r="N46" s="142">
        <v>67</v>
      </c>
      <c r="O46" s="172">
        <f t="shared" si="0"/>
        <v>67</v>
      </c>
      <c r="Q46" s="112"/>
      <c r="R46" s="112"/>
      <c r="S46" s="112"/>
      <c r="T46" s="112"/>
      <c r="U46" s="112"/>
      <c r="V46" s="112"/>
    </row>
    <row r="47" spans="1:22" ht="13.5">
      <c r="A47" s="338"/>
      <c r="B47" s="337"/>
      <c r="C47" s="337"/>
      <c r="D47" s="337"/>
      <c r="E47" s="341" t="s">
        <v>11</v>
      </c>
      <c r="F47" s="342"/>
      <c r="G47" s="343"/>
      <c r="H47" s="179">
        <f>AVERAGE(H45:H46)</f>
        <v>68.5</v>
      </c>
      <c r="I47" s="179">
        <f>AVERAGE(I45:I46)</f>
        <v>68</v>
      </c>
      <c r="J47" s="179">
        <f>AVERAGE(J45:J46)</f>
        <v>66.5</v>
      </c>
      <c r="K47" s="179">
        <f>AVERAGE(K45:K46)</f>
        <v>67.5</v>
      </c>
      <c r="L47" s="143">
        <f t="shared" si="1"/>
        <v>68</v>
      </c>
      <c r="M47" s="179">
        <f>AVERAGE(M45:M46)</f>
        <v>66.9</v>
      </c>
      <c r="N47" s="179">
        <f>AVERAGE(N45:N46)</f>
        <v>67</v>
      </c>
      <c r="O47" s="173">
        <f t="shared" si="0"/>
        <v>67</v>
      </c>
      <c r="Q47" s="112"/>
      <c r="R47" s="112"/>
      <c r="S47" s="112"/>
      <c r="T47" s="112"/>
      <c r="U47" s="112"/>
      <c r="V47" s="112"/>
    </row>
    <row r="48" spans="1:22" ht="13.5">
      <c r="A48" s="338"/>
      <c r="B48" s="335" t="s">
        <v>51</v>
      </c>
      <c r="C48" s="335" t="s">
        <v>48</v>
      </c>
      <c r="D48" s="332" t="s">
        <v>13</v>
      </c>
      <c r="E48" s="14" t="s">
        <v>30</v>
      </c>
      <c r="F48" s="14">
        <v>203.42</v>
      </c>
      <c r="G48" s="14">
        <v>176.58</v>
      </c>
      <c r="H48" s="116">
        <v>65</v>
      </c>
      <c r="I48" s="144">
        <v>57</v>
      </c>
      <c r="J48" s="144">
        <v>64</v>
      </c>
      <c r="K48" s="144">
        <v>60</v>
      </c>
      <c r="L48" s="141">
        <f t="shared" si="1"/>
        <v>62</v>
      </c>
      <c r="M48" s="184">
        <v>46</v>
      </c>
      <c r="N48" s="184">
        <v>43</v>
      </c>
      <c r="O48" s="185">
        <f t="shared" si="0"/>
        <v>45</v>
      </c>
      <c r="Q48" s="112" t="s">
        <v>141</v>
      </c>
      <c r="R48" s="112">
        <f>COUNTIF($L$48:$L$50,"&lt;=65")</f>
        <v>3</v>
      </c>
      <c r="S48" s="112">
        <f>COUNTIF($O$48:$O$50,"&lt;=55")</f>
        <v>3</v>
      </c>
      <c r="T48" s="112">
        <f>COUNTIF($L$48:$L$50,"&gt;65")</f>
        <v>0</v>
      </c>
      <c r="U48" s="112">
        <f>COUNTIF($O$48:$O$50,"&gt;55")</f>
        <v>0</v>
      </c>
      <c r="V48" s="112"/>
    </row>
    <row r="49" spans="1:22" ht="13.5">
      <c r="A49" s="338"/>
      <c r="B49" s="333"/>
      <c r="C49" s="333"/>
      <c r="D49" s="333"/>
      <c r="E49" s="22" t="s">
        <v>157</v>
      </c>
      <c r="F49" s="14">
        <v>203.33</v>
      </c>
      <c r="G49" s="14">
        <v>176.57</v>
      </c>
      <c r="H49" s="144">
        <v>64</v>
      </c>
      <c r="I49" s="144">
        <v>61</v>
      </c>
      <c r="J49" s="144">
        <v>64</v>
      </c>
      <c r="K49" s="144">
        <v>55</v>
      </c>
      <c r="L49" s="141">
        <f t="shared" si="1"/>
        <v>61</v>
      </c>
      <c r="M49" s="184">
        <v>44</v>
      </c>
      <c r="N49" s="184">
        <v>42</v>
      </c>
      <c r="O49" s="185">
        <f t="shared" si="0"/>
        <v>43</v>
      </c>
      <c r="Q49" s="112"/>
      <c r="R49" s="112"/>
      <c r="S49" s="112"/>
      <c r="T49" s="112"/>
      <c r="U49" s="112"/>
      <c r="V49" s="112"/>
    </row>
    <row r="50" spans="1:22" ht="13.5">
      <c r="A50" s="338"/>
      <c r="B50" s="333"/>
      <c r="C50" s="333"/>
      <c r="D50" s="333"/>
      <c r="E50" s="14" t="s">
        <v>158</v>
      </c>
      <c r="F50" s="14">
        <v>203.38</v>
      </c>
      <c r="G50" s="14">
        <v>176.62</v>
      </c>
      <c r="H50" s="144">
        <v>67</v>
      </c>
      <c r="I50" s="144">
        <v>60</v>
      </c>
      <c r="J50" s="144">
        <v>64</v>
      </c>
      <c r="K50" s="144">
        <v>56</v>
      </c>
      <c r="L50" s="141">
        <f t="shared" si="1"/>
        <v>62</v>
      </c>
      <c r="M50" s="184">
        <v>44</v>
      </c>
      <c r="N50" s="184">
        <v>40</v>
      </c>
      <c r="O50" s="185">
        <f t="shared" si="0"/>
        <v>42</v>
      </c>
      <c r="Q50" s="112"/>
      <c r="R50" s="112"/>
      <c r="S50" s="112"/>
      <c r="T50" s="112"/>
      <c r="U50" s="112"/>
      <c r="V50" s="112"/>
    </row>
    <row r="51" spans="1:22" ht="13.5">
      <c r="A51" s="338"/>
      <c r="B51" s="333"/>
      <c r="C51" s="333"/>
      <c r="D51" s="337"/>
      <c r="E51" s="341" t="s">
        <v>11</v>
      </c>
      <c r="F51" s="342"/>
      <c r="G51" s="343"/>
      <c r="H51" s="179">
        <f aca="true" t="shared" si="8" ref="H51:N51">AVERAGE(H48:H50)</f>
        <v>65.33333333333333</v>
      </c>
      <c r="I51" s="179">
        <f t="shared" si="8"/>
        <v>59.333333333333336</v>
      </c>
      <c r="J51" s="179">
        <f t="shared" si="8"/>
        <v>64</v>
      </c>
      <c r="K51" s="179">
        <f t="shared" si="8"/>
        <v>57</v>
      </c>
      <c r="L51" s="143">
        <f t="shared" si="1"/>
        <v>61</v>
      </c>
      <c r="M51" s="186">
        <f t="shared" si="8"/>
        <v>44.666666666666664</v>
      </c>
      <c r="N51" s="186">
        <f t="shared" si="8"/>
        <v>41.666666666666664</v>
      </c>
      <c r="O51" s="187">
        <f t="shared" si="0"/>
        <v>43</v>
      </c>
      <c r="Q51" s="112"/>
      <c r="R51" s="112"/>
      <c r="S51" s="112"/>
      <c r="T51" s="112"/>
      <c r="U51" s="112"/>
      <c r="V51" s="112"/>
    </row>
    <row r="52" spans="1:22" ht="13.5">
      <c r="A52" s="338"/>
      <c r="B52" s="333"/>
      <c r="C52" s="333"/>
      <c r="D52" s="332" t="s">
        <v>17</v>
      </c>
      <c r="E52" s="22" t="s">
        <v>159</v>
      </c>
      <c r="F52" s="14">
        <v>203.42</v>
      </c>
      <c r="G52" s="14">
        <v>176.71</v>
      </c>
      <c r="H52" s="144">
        <v>70</v>
      </c>
      <c r="I52" s="144">
        <v>71</v>
      </c>
      <c r="J52" s="144">
        <v>71</v>
      </c>
      <c r="K52" s="180">
        <v>70</v>
      </c>
      <c r="L52" s="141">
        <f t="shared" si="1"/>
        <v>71</v>
      </c>
      <c r="M52" s="180">
        <v>67</v>
      </c>
      <c r="N52" s="180">
        <v>62</v>
      </c>
      <c r="O52" s="172">
        <f t="shared" si="0"/>
        <v>65</v>
      </c>
      <c r="Q52" s="112" t="s">
        <v>43</v>
      </c>
      <c r="R52" s="112">
        <f>COUNTIF($L$52:$L$53,"&lt;=70")</f>
        <v>1</v>
      </c>
      <c r="S52" s="112">
        <f>COUNTIF($O$52:$O$53,"&lt;=60")</f>
        <v>0</v>
      </c>
      <c r="T52" s="112">
        <f>COUNTIF($L$52:$L$53,"&gt;70")</f>
        <v>1</v>
      </c>
      <c r="U52" s="112">
        <f>COUNTIF($O$52:$O$53,"&gt;60")</f>
        <v>2</v>
      </c>
      <c r="V52" s="112"/>
    </row>
    <row r="53" spans="1:22" ht="13.5">
      <c r="A53" s="338"/>
      <c r="B53" s="333"/>
      <c r="C53" s="333"/>
      <c r="D53" s="333"/>
      <c r="E53" s="22" t="s">
        <v>31</v>
      </c>
      <c r="F53" s="14">
        <v>203.46</v>
      </c>
      <c r="G53" s="14">
        <v>176.62</v>
      </c>
      <c r="H53" s="144">
        <v>70</v>
      </c>
      <c r="I53" s="144">
        <v>69</v>
      </c>
      <c r="J53" s="144">
        <v>70</v>
      </c>
      <c r="K53" s="144">
        <v>69</v>
      </c>
      <c r="L53" s="141">
        <f t="shared" si="1"/>
        <v>70</v>
      </c>
      <c r="M53" s="180">
        <v>70</v>
      </c>
      <c r="N53" s="180">
        <v>66</v>
      </c>
      <c r="O53" s="172">
        <f t="shared" si="0"/>
        <v>68</v>
      </c>
      <c r="Q53" s="112"/>
      <c r="R53" s="112"/>
      <c r="S53" s="112"/>
      <c r="T53" s="112"/>
      <c r="U53" s="112"/>
      <c r="V53" s="112"/>
    </row>
    <row r="54" spans="1:22" ht="14.25" thickBot="1">
      <c r="A54" s="339"/>
      <c r="B54" s="334"/>
      <c r="C54" s="334"/>
      <c r="D54" s="334"/>
      <c r="E54" s="350" t="s">
        <v>11</v>
      </c>
      <c r="F54" s="351"/>
      <c r="G54" s="352"/>
      <c r="H54" s="145">
        <f>AVERAGE(H52:H53)</f>
        <v>70</v>
      </c>
      <c r="I54" s="145">
        <f aca="true" t="shared" si="9" ref="I54:N54">AVERAGE(I52:I53)</f>
        <v>70</v>
      </c>
      <c r="J54" s="145">
        <f t="shared" si="9"/>
        <v>70.5</v>
      </c>
      <c r="K54" s="145">
        <f t="shared" si="9"/>
        <v>69.5</v>
      </c>
      <c r="L54" s="145">
        <f t="shared" si="1"/>
        <v>70</v>
      </c>
      <c r="M54" s="145">
        <f>AVERAGE(M52:M53)</f>
        <v>68.5</v>
      </c>
      <c r="N54" s="145">
        <f t="shared" si="9"/>
        <v>64</v>
      </c>
      <c r="O54" s="182">
        <f t="shared" si="0"/>
        <v>66</v>
      </c>
      <c r="Q54" s="112" t="s">
        <v>141</v>
      </c>
      <c r="R54" s="112">
        <f>R48+R41+R34+R6+R13+R20+R27</f>
        <v>12</v>
      </c>
      <c r="S54" s="112">
        <f>S48+S41+S34+S6+S13+S20+S27</f>
        <v>6</v>
      </c>
      <c r="T54" s="112">
        <f>T48+T41+T34+T6+T13+T20+T27</f>
        <v>9</v>
      </c>
      <c r="U54" s="112">
        <f>U48+U41+U34+U6+U13+U20+U27</f>
        <v>15</v>
      </c>
      <c r="V54" s="112"/>
    </row>
    <row r="55" spans="17:22" ht="13.5">
      <c r="Q55" s="112" t="s">
        <v>43</v>
      </c>
      <c r="R55" s="112">
        <f>R52+R45+R38+R10+R17+R24+R31</f>
        <v>6</v>
      </c>
      <c r="S55" s="112">
        <f>S52+S45+S38+S10+S17+S24+S31</f>
        <v>0</v>
      </c>
      <c r="T55" s="112">
        <f>T52+T45+T38+T10+T17+T24+T31</f>
        <v>8</v>
      </c>
      <c r="U55" s="112">
        <f>U52+U45+U38+U10+U17+U24+U31</f>
        <v>14</v>
      </c>
      <c r="V55" s="112"/>
    </row>
    <row r="56" spans="8:22" ht="13.5">
      <c r="H56" s="56"/>
      <c r="I56" s="56"/>
      <c r="J56" s="56"/>
      <c r="K56" s="56"/>
      <c r="Q56" s="112"/>
      <c r="R56" s="112"/>
      <c r="S56" s="112"/>
      <c r="T56" s="112"/>
      <c r="U56" s="112"/>
      <c r="V56" s="112"/>
    </row>
    <row r="57" spans="17:22" ht="13.5">
      <c r="Q57" s="112"/>
      <c r="R57" s="112"/>
      <c r="S57" s="112"/>
      <c r="T57" s="112"/>
      <c r="U57" s="112"/>
      <c r="V57" s="112"/>
    </row>
    <row r="58" ht="13.5">
      <c r="E58" s="189">
        <f>ROUND(MIN('5. 지점별'!$O$6:$O$8,'5. 지점별'!$O$13:$O$15,'5. 지점별'!$O$20:$O$22,'5. 지점별'!$O$27:$O$28,'5. 지점별'!$O$34:$O$36,'5. 지점별'!$O$41:$O$43,'5. 지점별'!$O$48:$O$50),0)</f>
        <v>42</v>
      </c>
    </row>
  </sheetData>
  <sheetProtection/>
  <mergeCells count="58">
    <mergeCell ref="E44:G44"/>
    <mergeCell ref="E47:G47"/>
    <mergeCell ref="E51:G51"/>
    <mergeCell ref="E54:G54"/>
    <mergeCell ref="M2:O2"/>
    <mergeCell ref="A20:A40"/>
    <mergeCell ref="E37:G37"/>
    <mergeCell ref="E40:G40"/>
    <mergeCell ref="D31:D33"/>
    <mergeCell ref="E23:G23"/>
    <mergeCell ref="E26:G26"/>
    <mergeCell ref="E30:G30"/>
    <mergeCell ref="E33:G33"/>
    <mergeCell ref="E16:G16"/>
    <mergeCell ref="E19:G19"/>
    <mergeCell ref="B20:B26"/>
    <mergeCell ref="B27:B33"/>
    <mergeCell ref="C20:C26"/>
    <mergeCell ref="C27:C33"/>
    <mergeCell ref="D20:D23"/>
    <mergeCell ref="D24:D26"/>
    <mergeCell ref="D27:D30"/>
    <mergeCell ref="A6:A19"/>
    <mergeCell ref="B6:B12"/>
    <mergeCell ref="B13:B19"/>
    <mergeCell ref="C6:C12"/>
    <mergeCell ref="C13:C19"/>
    <mergeCell ref="A3:B3"/>
    <mergeCell ref="C3:G3"/>
    <mergeCell ref="A1:O1"/>
    <mergeCell ref="E4:E5"/>
    <mergeCell ref="D4:D5"/>
    <mergeCell ref="C4:C5"/>
    <mergeCell ref="B4:B5"/>
    <mergeCell ref="A4:A5"/>
    <mergeCell ref="H3:O3"/>
    <mergeCell ref="F4:G4"/>
    <mergeCell ref="H4:L4"/>
    <mergeCell ref="M4:O4"/>
    <mergeCell ref="D34:D37"/>
    <mergeCell ref="D38:D40"/>
    <mergeCell ref="D6:D9"/>
    <mergeCell ref="D10:D12"/>
    <mergeCell ref="E9:G9"/>
    <mergeCell ref="E12:G12"/>
    <mergeCell ref="D13:D16"/>
    <mergeCell ref="D17:D19"/>
    <mergeCell ref="A41:A54"/>
    <mergeCell ref="B34:B40"/>
    <mergeCell ref="B41:B47"/>
    <mergeCell ref="B48:B54"/>
    <mergeCell ref="D52:D54"/>
    <mergeCell ref="C34:C40"/>
    <mergeCell ref="C41:C47"/>
    <mergeCell ref="C48:C54"/>
    <mergeCell ref="D41:D44"/>
    <mergeCell ref="D45:D47"/>
    <mergeCell ref="D48:D51"/>
  </mergeCells>
  <conditionalFormatting sqref="Q49">
    <cfRule type="cellIs" priority="1" dxfId="1" operator="greaterThanOrEqual" stopIfTrue="1">
      <formula>55</formula>
    </cfRule>
  </conditionalFormatting>
  <conditionalFormatting sqref="H9:L9">
    <cfRule type="cellIs" priority="2" dxfId="1" operator="greaterThan" stopIfTrue="1">
      <formula>50</formula>
    </cfRule>
  </conditionalFormatting>
  <conditionalFormatting sqref="H37:L37">
    <cfRule type="cellIs" priority="3" dxfId="1" operator="greaterThan" stopIfTrue="1">
      <formula>55</formula>
    </cfRule>
  </conditionalFormatting>
  <conditionalFormatting sqref="H6:L8 H13:L16">
    <cfRule type="cellIs" priority="4" dxfId="1" operator="greaterThanOrEqual" stopIfTrue="1">
      <formula>50.5</formula>
    </cfRule>
  </conditionalFormatting>
  <conditionalFormatting sqref="H10:L12 H17:L19 H24:L26 H31:L33 H38:L44 H48:L51">
    <cfRule type="cellIs" priority="5" dxfId="1" operator="greaterThanOrEqual" stopIfTrue="1">
      <formula>65.5</formula>
    </cfRule>
  </conditionalFormatting>
  <conditionalFormatting sqref="M6:O9 M13:O16">
    <cfRule type="cellIs" priority="6" dxfId="1" operator="greaterThanOrEqual" stopIfTrue="1">
      <formula>40.5</formula>
    </cfRule>
  </conditionalFormatting>
  <conditionalFormatting sqref="M10:O12 M17:O19 H34:L36 M48:O51 H20:L23 M24:O26 M31:O33 M38:O44">
    <cfRule type="cellIs" priority="7" dxfId="1" operator="greaterThanOrEqual" stopIfTrue="1">
      <formula>55.5</formula>
    </cfRule>
  </conditionalFormatting>
  <conditionalFormatting sqref="H45:L47 H52:L54">
    <cfRule type="cellIs" priority="8" dxfId="1" operator="greaterThanOrEqual" stopIfTrue="1">
      <formula>70.5</formula>
    </cfRule>
  </conditionalFormatting>
  <conditionalFormatting sqref="M20:O23 M27:O30 M34:O37">
    <cfRule type="cellIs" priority="9" dxfId="1" operator="greaterThanOrEqual" stopIfTrue="1">
      <formula>45.5</formula>
    </cfRule>
  </conditionalFormatting>
  <conditionalFormatting sqref="M45:O47 M52:O54">
    <cfRule type="cellIs" priority="10" dxfId="1" operator="greaterThanOrEqual" stopIfTrue="1">
      <formula>60.5</formula>
    </cfRule>
  </conditionalFormatting>
  <conditionalFormatting sqref="H27:L30">
    <cfRule type="cellIs" priority="11" dxfId="0" operator="greaterThan" stopIfTrue="1">
      <formula>55.5</formula>
    </cfRule>
  </conditionalFormatting>
  <printOptions horizontalCentered="1" verticalCentered="1"/>
  <pageMargins left="0.24" right="0.3" top="0.5905511811023623" bottom="0.41" header="0.5118110236220472" footer="0.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">
      <selection activeCell="A1" sqref="A1:O1"/>
    </sheetView>
  </sheetViews>
  <sheetFormatPr defaultColWidth="8.88671875" defaultRowHeight="13.5"/>
  <cols>
    <col min="1" max="1" width="5.99609375" style="0" customWidth="1"/>
    <col min="2" max="3" width="4.21484375" style="0" customWidth="1"/>
    <col min="4" max="4" width="5.5546875" style="0" customWidth="1"/>
    <col min="6" max="11" width="4.3359375" style="0" customWidth="1"/>
    <col min="12" max="12" width="5.4453125" style="91" customWidth="1"/>
    <col min="13" max="13" width="4.3359375" style="91" customWidth="1"/>
    <col min="14" max="15" width="4.3359375" style="0" customWidth="1"/>
    <col min="18" max="18" width="9.10546875" style="0" bestFit="1" customWidth="1"/>
  </cols>
  <sheetData>
    <row r="1" spans="1:15" ht="24.75" customHeight="1">
      <c r="A1" s="272" t="s">
        <v>133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24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84"/>
      <c r="M2" s="84"/>
      <c r="N2" s="38"/>
      <c r="O2" s="38"/>
    </row>
    <row r="3" spans="1:15" ht="24.75" customHeight="1">
      <c r="A3" s="357" t="s">
        <v>194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25" ht="24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5"/>
      <c r="M4" s="255" t="s">
        <v>52</v>
      </c>
      <c r="N4" s="255"/>
      <c r="O4" s="255"/>
      <c r="Y4" s="9"/>
    </row>
    <row r="5" spans="1:15" ht="21.75" customHeight="1">
      <c r="A5" s="299" t="s">
        <v>235</v>
      </c>
      <c r="B5" s="320" t="s">
        <v>236</v>
      </c>
      <c r="C5" s="320"/>
      <c r="D5" s="320" t="s">
        <v>237</v>
      </c>
      <c r="E5" s="320"/>
      <c r="F5" s="358">
        <v>36895</v>
      </c>
      <c r="G5" s="358"/>
      <c r="H5" s="358">
        <v>36926</v>
      </c>
      <c r="I5" s="358"/>
      <c r="J5" s="358">
        <v>36954</v>
      </c>
      <c r="K5" s="358"/>
      <c r="L5" s="359">
        <v>36985</v>
      </c>
      <c r="M5" s="359"/>
      <c r="N5" s="320" t="s">
        <v>238</v>
      </c>
      <c r="O5" s="360"/>
    </row>
    <row r="6" spans="1:15" ht="21.75" customHeight="1" thickBot="1">
      <c r="A6" s="300"/>
      <c r="B6" s="75" t="s">
        <v>239</v>
      </c>
      <c r="C6" s="75" t="s">
        <v>240</v>
      </c>
      <c r="D6" s="74" t="s">
        <v>241</v>
      </c>
      <c r="E6" s="74" t="s">
        <v>242</v>
      </c>
      <c r="F6" s="74" t="s">
        <v>239</v>
      </c>
      <c r="G6" s="76" t="s">
        <v>240</v>
      </c>
      <c r="H6" s="74" t="s">
        <v>239</v>
      </c>
      <c r="I6" s="76" t="s">
        <v>240</v>
      </c>
      <c r="J6" s="74" t="s">
        <v>239</v>
      </c>
      <c r="K6" s="76" t="s">
        <v>240</v>
      </c>
      <c r="L6" s="86" t="s">
        <v>239</v>
      </c>
      <c r="M6" s="87" t="s">
        <v>240</v>
      </c>
      <c r="N6" s="74" t="s">
        <v>239</v>
      </c>
      <c r="O6" s="77" t="s">
        <v>240</v>
      </c>
    </row>
    <row r="7" spans="1:15" ht="21.75" customHeight="1" thickTop="1">
      <c r="A7" s="361" t="s">
        <v>243</v>
      </c>
      <c r="B7" s="363">
        <v>50</v>
      </c>
      <c r="C7" s="363">
        <v>40</v>
      </c>
      <c r="D7" s="365" t="s">
        <v>244</v>
      </c>
      <c r="E7" s="120">
        <v>2006</v>
      </c>
      <c r="F7" s="118">
        <v>54</v>
      </c>
      <c r="G7" s="192">
        <v>49</v>
      </c>
      <c r="H7" s="193">
        <v>55</v>
      </c>
      <c r="I7" s="194">
        <v>48</v>
      </c>
      <c r="J7" s="195">
        <v>55</v>
      </c>
      <c r="K7" s="194">
        <v>49</v>
      </c>
      <c r="L7" s="196">
        <v>55</v>
      </c>
      <c r="M7" s="197">
        <v>48</v>
      </c>
      <c r="N7" s="193">
        <v>54.6</v>
      </c>
      <c r="O7" s="198">
        <v>48.5</v>
      </c>
    </row>
    <row r="8" spans="1:25" ht="21.75" customHeight="1">
      <c r="A8" s="305"/>
      <c r="B8" s="364"/>
      <c r="C8" s="364"/>
      <c r="D8" s="308"/>
      <c r="E8" s="78">
        <v>2007</v>
      </c>
      <c r="F8" s="83">
        <v>54</v>
      </c>
      <c r="G8" s="108">
        <v>48</v>
      </c>
      <c r="H8" s="80">
        <v>56</v>
      </c>
      <c r="I8" s="79">
        <v>49</v>
      </c>
      <c r="J8" s="41">
        <v>55</v>
      </c>
      <c r="K8" s="79">
        <v>48</v>
      </c>
      <c r="L8" s="92">
        <v>54</v>
      </c>
      <c r="M8" s="89">
        <v>47</v>
      </c>
      <c r="N8" s="80">
        <v>54.75</v>
      </c>
      <c r="O8" s="81">
        <v>48</v>
      </c>
      <c r="R8" s="73"/>
      <c r="Y8" s="9"/>
    </row>
    <row r="9" spans="1:20" ht="21.75" customHeight="1">
      <c r="A9" s="305"/>
      <c r="B9" s="364"/>
      <c r="C9" s="364"/>
      <c r="D9" s="308"/>
      <c r="E9" s="78">
        <v>2008</v>
      </c>
      <c r="F9" s="83">
        <v>54</v>
      </c>
      <c r="G9" s="108">
        <v>49</v>
      </c>
      <c r="H9" s="80">
        <v>55</v>
      </c>
      <c r="I9" s="79">
        <v>49</v>
      </c>
      <c r="J9" s="41"/>
      <c r="K9" s="79"/>
      <c r="L9" s="92"/>
      <c r="M9" s="89"/>
      <c r="N9" s="80"/>
      <c r="O9" s="81"/>
      <c r="R9" s="71"/>
      <c r="S9" s="71"/>
      <c r="T9" s="71"/>
    </row>
    <row r="10" spans="1:20" ht="21.75" customHeight="1">
      <c r="A10" s="305"/>
      <c r="B10" s="364">
        <v>55</v>
      </c>
      <c r="C10" s="364">
        <v>45</v>
      </c>
      <c r="D10" s="277" t="s">
        <v>245</v>
      </c>
      <c r="E10" s="78">
        <v>2006</v>
      </c>
      <c r="F10" s="41">
        <v>55</v>
      </c>
      <c r="G10" s="108">
        <v>51</v>
      </c>
      <c r="H10" s="41">
        <v>55</v>
      </c>
      <c r="I10" s="79">
        <v>52</v>
      </c>
      <c r="J10" s="41">
        <v>55</v>
      </c>
      <c r="K10" s="79">
        <v>51</v>
      </c>
      <c r="L10" s="88">
        <v>56</v>
      </c>
      <c r="M10" s="89">
        <v>52</v>
      </c>
      <c r="N10" s="80">
        <v>55.2</v>
      </c>
      <c r="O10" s="81">
        <v>51.5</v>
      </c>
      <c r="R10" s="70"/>
      <c r="S10" s="70"/>
      <c r="T10" s="71"/>
    </row>
    <row r="11" spans="1:20" ht="21.75" customHeight="1">
      <c r="A11" s="305"/>
      <c r="B11" s="364"/>
      <c r="C11" s="364"/>
      <c r="D11" s="308"/>
      <c r="E11" s="140">
        <v>2007</v>
      </c>
      <c r="F11" s="83">
        <v>55</v>
      </c>
      <c r="G11" s="108">
        <v>52</v>
      </c>
      <c r="H11" s="41">
        <v>55</v>
      </c>
      <c r="I11" s="79">
        <v>51</v>
      </c>
      <c r="J11" s="41">
        <v>55</v>
      </c>
      <c r="K11" s="79">
        <v>51</v>
      </c>
      <c r="L11" s="88">
        <v>55</v>
      </c>
      <c r="M11" s="89">
        <v>51</v>
      </c>
      <c r="N11" s="80">
        <v>55</v>
      </c>
      <c r="O11" s="81">
        <v>51.25</v>
      </c>
      <c r="R11" s="71"/>
      <c r="S11" s="71"/>
      <c r="T11" s="71"/>
    </row>
    <row r="12" spans="1:20" ht="21.75" customHeight="1">
      <c r="A12" s="305"/>
      <c r="B12" s="364"/>
      <c r="C12" s="364"/>
      <c r="D12" s="308"/>
      <c r="E12" s="140">
        <v>2008</v>
      </c>
      <c r="F12" s="83">
        <v>55</v>
      </c>
      <c r="G12" s="108">
        <v>52</v>
      </c>
      <c r="H12" s="41">
        <v>55</v>
      </c>
      <c r="I12" s="79">
        <v>51</v>
      </c>
      <c r="J12" s="41"/>
      <c r="K12" s="79"/>
      <c r="L12" s="88"/>
      <c r="M12" s="89"/>
      <c r="N12" s="80"/>
      <c r="O12" s="81"/>
      <c r="R12" s="72"/>
      <c r="S12" s="72"/>
      <c r="T12" s="71"/>
    </row>
    <row r="13" spans="1:15" ht="21.75" customHeight="1">
      <c r="A13" s="305"/>
      <c r="B13" s="364">
        <v>65</v>
      </c>
      <c r="C13" s="364">
        <v>55</v>
      </c>
      <c r="D13" s="277" t="s">
        <v>246</v>
      </c>
      <c r="E13" s="140">
        <v>2006</v>
      </c>
      <c r="F13" s="41">
        <v>59</v>
      </c>
      <c r="G13" s="108">
        <v>49</v>
      </c>
      <c r="H13" s="41">
        <v>60</v>
      </c>
      <c r="I13" s="79">
        <v>50</v>
      </c>
      <c r="J13" s="41">
        <v>61</v>
      </c>
      <c r="K13" s="79">
        <v>51</v>
      </c>
      <c r="L13" s="88">
        <v>61</v>
      </c>
      <c r="M13" s="230">
        <v>51</v>
      </c>
      <c r="N13" s="80">
        <v>60</v>
      </c>
      <c r="O13" s="229">
        <v>50.25</v>
      </c>
    </row>
    <row r="14" spans="1:15" ht="21.75" customHeight="1">
      <c r="A14" s="305"/>
      <c r="B14" s="364"/>
      <c r="C14" s="364"/>
      <c r="D14" s="308"/>
      <c r="E14" s="140">
        <v>2007</v>
      </c>
      <c r="F14" s="83">
        <v>59</v>
      </c>
      <c r="G14" s="108">
        <v>51</v>
      </c>
      <c r="H14" s="41">
        <v>59</v>
      </c>
      <c r="I14" s="79">
        <v>50</v>
      </c>
      <c r="J14" s="41">
        <v>59</v>
      </c>
      <c r="K14" s="79">
        <v>51</v>
      </c>
      <c r="L14" s="238">
        <v>60</v>
      </c>
      <c r="M14" s="239">
        <v>50.25</v>
      </c>
      <c r="N14" s="178">
        <v>59.25</v>
      </c>
      <c r="O14" s="240">
        <v>50.5</v>
      </c>
    </row>
    <row r="15" spans="1:15" ht="21.75" customHeight="1" thickBot="1">
      <c r="A15" s="362"/>
      <c r="B15" s="366"/>
      <c r="C15" s="366"/>
      <c r="D15" s="316"/>
      <c r="E15" s="231">
        <v>2008</v>
      </c>
      <c r="F15" s="232">
        <v>59</v>
      </c>
      <c r="G15" s="233">
        <v>50</v>
      </c>
      <c r="H15" s="177">
        <v>59</v>
      </c>
      <c r="I15" s="234">
        <v>48</v>
      </c>
      <c r="J15" s="177"/>
      <c r="K15" s="234"/>
      <c r="L15" s="235"/>
      <c r="M15" s="236"/>
      <c r="N15" s="177"/>
      <c r="O15" s="237"/>
    </row>
    <row r="16" spans="1:15" ht="24.75" customHeight="1">
      <c r="A16" s="299" t="s">
        <v>247</v>
      </c>
      <c r="B16" s="367">
        <v>65</v>
      </c>
      <c r="C16" s="367">
        <v>55</v>
      </c>
      <c r="D16" s="318" t="s">
        <v>248</v>
      </c>
      <c r="E16" s="200">
        <v>2006</v>
      </c>
      <c r="F16" s="20">
        <v>66</v>
      </c>
      <c r="G16" s="201">
        <v>61</v>
      </c>
      <c r="H16" s="20">
        <v>66</v>
      </c>
      <c r="I16" s="202">
        <v>62</v>
      </c>
      <c r="J16" s="20">
        <v>67</v>
      </c>
      <c r="K16" s="202">
        <v>61</v>
      </c>
      <c r="L16" s="203">
        <v>67</v>
      </c>
      <c r="M16" s="204">
        <v>62</v>
      </c>
      <c r="N16" s="205">
        <v>66.4</v>
      </c>
      <c r="O16" s="206">
        <v>61.5</v>
      </c>
    </row>
    <row r="17" spans="1:15" ht="24.75" customHeight="1">
      <c r="A17" s="305"/>
      <c r="B17" s="364"/>
      <c r="C17" s="364"/>
      <c r="D17" s="308"/>
      <c r="E17" s="140">
        <v>2007</v>
      </c>
      <c r="F17" s="83">
        <v>66</v>
      </c>
      <c r="G17" s="108">
        <v>63</v>
      </c>
      <c r="H17" s="41">
        <v>66</v>
      </c>
      <c r="I17" s="79">
        <v>62</v>
      </c>
      <c r="J17" s="41">
        <v>67</v>
      </c>
      <c r="K17" s="79">
        <v>62</v>
      </c>
      <c r="L17" s="207">
        <v>67</v>
      </c>
      <c r="M17" s="208">
        <v>63</v>
      </c>
      <c r="N17" s="41">
        <v>66.5</v>
      </c>
      <c r="O17" s="119">
        <v>62.5</v>
      </c>
    </row>
    <row r="18" spans="1:15" ht="24.75" customHeight="1">
      <c r="A18" s="305"/>
      <c r="B18" s="364"/>
      <c r="C18" s="364"/>
      <c r="D18" s="308"/>
      <c r="E18" s="140">
        <v>2008</v>
      </c>
      <c r="F18" s="83">
        <v>66</v>
      </c>
      <c r="G18" s="108">
        <v>63</v>
      </c>
      <c r="H18" s="41">
        <v>67</v>
      </c>
      <c r="I18" s="79">
        <v>63</v>
      </c>
      <c r="J18" s="41"/>
      <c r="K18" s="79"/>
      <c r="L18" s="209"/>
      <c r="M18" s="147"/>
      <c r="N18" s="41"/>
      <c r="O18" s="119"/>
    </row>
    <row r="19" spans="1:15" ht="24.75" customHeight="1">
      <c r="A19" s="305"/>
      <c r="B19" s="364">
        <v>70</v>
      </c>
      <c r="C19" s="364">
        <v>60</v>
      </c>
      <c r="D19" s="277" t="s">
        <v>246</v>
      </c>
      <c r="E19" s="140">
        <v>2006</v>
      </c>
      <c r="F19" s="41">
        <v>69</v>
      </c>
      <c r="G19" s="108">
        <v>67</v>
      </c>
      <c r="H19" s="41">
        <v>69</v>
      </c>
      <c r="I19" s="79">
        <v>68</v>
      </c>
      <c r="J19" s="41">
        <v>70</v>
      </c>
      <c r="K19" s="79">
        <v>67</v>
      </c>
      <c r="L19" s="92">
        <v>70</v>
      </c>
      <c r="M19" s="114">
        <v>68</v>
      </c>
      <c r="N19" s="80">
        <v>69.5</v>
      </c>
      <c r="O19" s="81">
        <v>67.5</v>
      </c>
    </row>
    <row r="20" spans="1:15" ht="24.75" customHeight="1">
      <c r="A20" s="305"/>
      <c r="B20" s="364"/>
      <c r="C20" s="364"/>
      <c r="D20" s="308"/>
      <c r="E20" s="140">
        <v>2007</v>
      </c>
      <c r="F20" s="83">
        <v>69</v>
      </c>
      <c r="G20" s="108">
        <v>68</v>
      </c>
      <c r="H20" s="83">
        <v>69</v>
      </c>
      <c r="I20" s="108">
        <v>67</v>
      </c>
      <c r="J20" s="41">
        <v>69</v>
      </c>
      <c r="K20" s="108">
        <v>67</v>
      </c>
      <c r="L20" s="207">
        <v>70</v>
      </c>
      <c r="M20" s="208">
        <v>67</v>
      </c>
      <c r="N20" s="92">
        <v>69.25</v>
      </c>
      <c r="O20" s="119">
        <v>67.25</v>
      </c>
    </row>
    <row r="21" spans="1:15" ht="24.75" customHeight="1" thickBot="1">
      <c r="A21" s="306"/>
      <c r="B21" s="368"/>
      <c r="C21" s="368"/>
      <c r="D21" s="309"/>
      <c r="E21" s="210">
        <v>2008</v>
      </c>
      <c r="F21" s="176">
        <v>70</v>
      </c>
      <c r="G21" s="211">
        <v>68</v>
      </c>
      <c r="H21" s="29">
        <v>69</v>
      </c>
      <c r="I21" s="211">
        <v>67</v>
      </c>
      <c r="J21" s="29"/>
      <c r="K21" s="211"/>
      <c r="L21" s="212"/>
      <c r="M21" s="148"/>
      <c r="N21" s="213"/>
      <c r="O21" s="214"/>
    </row>
    <row r="22" spans="1:15" ht="24.75" customHeight="1">
      <c r="A22" s="6"/>
      <c r="B22" s="7"/>
      <c r="C22" s="7"/>
      <c r="D22" s="6"/>
      <c r="E22" s="8"/>
      <c r="F22" s="5"/>
      <c r="G22" s="5"/>
      <c r="H22" s="5"/>
      <c r="I22" s="5"/>
      <c r="J22" s="5"/>
      <c r="K22" s="5"/>
      <c r="L22" s="90"/>
      <c r="M22" s="90"/>
      <c r="N22" s="5"/>
      <c r="O22" s="5"/>
    </row>
    <row r="23" spans="1:15" ht="13.5">
      <c r="A23" s="369" t="s">
        <v>195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</row>
    <row r="24" spans="1:15" ht="13.5">
      <c r="A24" s="369" t="s">
        <v>196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15" ht="13.5">
      <c r="A25" s="369" t="s">
        <v>197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</row>
    <row r="26" spans="1:15" ht="13.5">
      <c r="A26" s="369" t="s">
        <v>198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</row>
    <row r="27" spans="2:3" ht="13.5">
      <c r="B27" s="1"/>
      <c r="C27" s="1"/>
    </row>
    <row r="28" spans="2:3" ht="13.5">
      <c r="B28" s="1"/>
      <c r="C28" s="1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</sheetData>
  <mergeCells count="32">
    <mergeCell ref="A23:O23"/>
    <mergeCell ref="A24:O24"/>
    <mergeCell ref="A25:O25"/>
    <mergeCell ref="A26:O26"/>
    <mergeCell ref="D13:D15"/>
    <mergeCell ref="A16:A21"/>
    <mergeCell ref="B16:B18"/>
    <mergeCell ref="C16:C18"/>
    <mergeCell ref="D16:D18"/>
    <mergeCell ref="B19:B21"/>
    <mergeCell ref="C19:C21"/>
    <mergeCell ref="D19:D21"/>
    <mergeCell ref="N5:O5"/>
    <mergeCell ref="A7:A15"/>
    <mergeCell ref="B7:B9"/>
    <mergeCell ref="C7:C9"/>
    <mergeCell ref="D7:D9"/>
    <mergeCell ref="B10:B12"/>
    <mergeCell ref="C10:C12"/>
    <mergeCell ref="D10:D12"/>
    <mergeCell ref="B13:B15"/>
    <mergeCell ref="C13:C15"/>
    <mergeCell ref="A1:O1"/>
    <mergeCell ref="A3:O3"/>
    <mergeCell ref="M4:O4"/>
    <mergeCell ref="A5:A6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8.88671875" defaultRowHeight="13.5"/>
  <cols>
    <col min="1" max="1" width="9.6640625" style="0" customWidth="1"/>
    <col min="2" max="3" width="6.77734375" style="0" customWidth="1"/>
    <col min="4" max="4" width="10.4453125" style="0" customWidth="1"/>
    <col min="5" max="5" width="9.3359375" style="0" customWidth="1"/>
    <col min="6" max="7" width="7.77734375" style="0" customWidth="1"/>
    <col min="8" max="9" width="4.77734375" style="0" customWidth="1"/>
    <col min="10" max="11" width="3.6640625" style="0" customWidth="1"/>
  </cols>
  <sheetData>
    <row r="1" spans="1:9" ht="24.75" customHeight="1">
      <c r="A1" s="272" t="s">
        <v>228</v>
      </c>
      <c r="B1" s="272"/>
      <c r="C1" s="272"/>
      <c r="D1" s="272"/>
      <c r="E1" s="272"/>
      <c r="F1" s="272"/>
      <c r="G1" s="272"/>
      <c r="H1" s="272"/>
      <c r="I1" s="272"/>
    </row>
    <row r="2" spans="1:9" ht="12.7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3.5" customHeight="1" thickBot="1">
      <c r="A3" s="3"/>
      <c r="B3" s="3"/>
      <c r="C3" s="3"/>
      <c r="D3" s="3"/>
      <c r="E3" s="3"/>
      <c r="F3" s="3"/>
      <c r="G3" s="4" t="s">
        <v>52</v>
      </c>
      <c r="H3" s="3"/>
      <c r="I3" s="3"/>
    </row>
    <row r="4" spans="1:9" ht="21.75" customHeight="1">
      <c r="A4" s="299" t="s">
        <v>44</v>
      </c>
      <c r="B4" s="320" t="s">
        <v>134</v>
      </c>
      <c r="C4" s="320"/>
      <c r="D4" s="320" t="s">
        <v>58</v>
      </c>
      <c r="E4" s="320"/>
      <c r="F4" s="358" t="s">
        <v>199</v>
      </c>
      <c r="G4" s="370"/>
      <c r="H4" s="5"/>
      <c r="I4" s="5"/>
    </row>
    <row r="5" spans="1:9" ht="22.5" customHeight="1" thickBot="1">
      <c r="A5" s="300"/>
      <c r="B5" s="75" t="s">
        <v>135</v>
      </c>
      <c r="C5" s="75" t="s">
        <v>136</v>
      </c>
      <c r="D5" s="74" t="s">
        <v>137</v>
      </c>
      <c r="E5" s="74" t="s">
        <v>138</v>
      </c>
      <c r="F5" s="74" t="s">
        <v>135</v>
      </c>
      <c r="G5" s="77" t="s">
        <v>136</v>
      </c>
      <c r="H5" s="44"/>
      <c r="I5" s="44"/>
    </row>
    <row r="6" spans="1:9" ht="24" customHeight="1" thickTop="1">
      <c r="A6" s="361" t="s">
        <v>243</v>
      </c>
      <c r="B6" s="363">
        <v>50</v>
      </c>
      <c r="C6" s="363">
        <v>40</v>
      </c>
      <c r="D6" s="365" t="s">
        <v>244</v>
      </c>
      <c r="E6" s="120">
        <v>2006</v>
      </c>
      <c r="F6" s="193">
        <v>55</v>
      </c>
      <c r="G6" s="221">
        <v>48</v>
      </c>
      <c r="H6" s="44"/>
      <c r="I6" s="44"/>
    </row>
    <row r="7" spans="1:9" ht="24" customHeight="1">
      <c r="A7" s="305"/>
      <c r="B7" s="364"/>
      <c r="C7" s="364"/>
      <c r="D7" s="308"/>
      <c r="E7" s="78">
        <v>2007</v>
      </c>
      <c r="F7" s="80">
        <v>56</v>
      </c>
      <c r="G7" s="119">
        <v>49</v>
      </c>
      <c r="H7" s="44"/>
      <c r="I7" s="44"/>
    </row>
    <row r="8" spans="1:9" ht="24" customHeight="1">
      <c r="A8" s="305"/>
      <c r="B8" s="364"/>
      <c r="C8" s="364"/>
      <c r="D8" s="308"/>
      <c r="E8" s="78">
        <v>2008</v>
      </c>
      <c r="F8" s="80">
        <v>55</v>
      </c>
      <c r="G8" s="119">
        <v>49</v>
      </c>
      <c r="H8" s="44"/>
      <c r="I8" s="44"/>
    </row>
    <row r="9" spans="1:7" ht="24" customHeight="1">
      <c r="A9" s="305"/>
      <c r="B9" s="364">
        <v>55</v>
      </c>
      <c r="C9" s="364">
        <v>45</v>
      </c>
      <c r="D9" s="277" t="s">
        <v>245</v>
      </c>
      <c r="E9" s="78">
        <v>2006</v>
      </c>
      <c r="F9" s="41">
        <v>55</v>
      </c>
      <c r="G9" s="119">
        <v>52</v>
      </c>
    </row>
    <row r="10" spans="1:7" ht="24" customHeight="1">
      <c r="A10" s="305"/>
      <c r="B10" s="364"/>
      <c r="C10" s="364"/>
      <c r="D10" s="308"/>
      <c r="E10" s="140">
        <v>2007</v>
      </c>
      <c r="F10" s="41">
        <v>55</v>
      </c>
      <c r="G10" s="119">
        <v>51</v>
      </c>
    </row>
    <row r="11" spans="1:7" ht="24" customHeight="1">
      <c r="A11" s="305"/>
      <c r="B11" s="364"/>
      <c r="C11" s="364"/>
      <c r="D11" s="308"/>
      <c r="E11" s="140">
        <v>2008</v>
      </c>
      <c r="F11" s="41">
        <v>55</v>
      </c>
      <c r="G11" s="119">
        <v>51</v>
      </c>
    </row>
    <row r="12" spans="1:7" ht="24" customHeight="1">
      <c r="A12" s="305"/>
      <c r="B12" s="364">
        <v>65</v>
      </c>
      <c r="C12" s="364">
        <v>55</v>
      </c>
      <c r="D12" s="277" t="s">
        <v>246</v>
      </c>
      <c r="E12" s="78">
        <v>2006</v>
      </c>
      <c r="F12" s="83">
        <v>60</v>
      </c>
      <c r="G12" s="119">
        <v>50</v>
      </c>
    </row>
    <row r="13" spans="1:7" ht="24" customHeight="1">
      <c r="A13" s="305"/>
      <c r="B13" s="364"/>
      <c r="C13" s="364"/>
      <c r="D13" s="308"/>
      <c r="E13" s="78">
        <v>2007</v>
      </c>
      <c r="F13" s="31">
        <v>59</v>
      </c>
      <c r="G13" s="241">
        <v>50</v>
      </c>
    </row>
    <row r="14" spans="1:7" ht="24" customHeight="1" thickBot="1">
      <c r="A14" s="362"/>
      <c r="B14" s="366"/>
      <c r="C14" s="366"/>
      <c r="D14" s="316"/>
      <c r="E14" s="199">
        <v>2008</v>
      </c>
      <c r="F14" s="35">
        <v>59</v>
      </c>
      <c r="G14" s="122">
        <v>48</v>
      </c>
    </row>
    <row r="15" spans="1:7" ht="24" customHeight="1">
      <c r="A15" s="299" t="s">
        <v>247</v>
      </c>
      <c r="B15" s="367">
        <v>65</v>
      </c>
      <c r="C15" s="367">
        <v>55</v>
      </c>
      <c r="D15" s="318" t="s">
        <v>248</v>
      </c>
      <c r="E15" s="200">
        <v>2006</v>
      </c>
      <c r="F15" s="20">
        <v>66</v>
      </c>
      <c r="G15" s="222">
        <v>62</v>
      </c>
    </row>
    <row r="16" spans="1:7" ht="24" customHeight="1">
      <c r="A16" s="305"/>
      <c r="B16" s="364"/>
      <c r="C16" s="364"/>
      <c r="D16" s="308"/>
      <c r="E16" s="140">
        <v>2007</v>
      </c>
      <c r="F16" s="41">
        <v>66</v>
      </c>
      <c r="G16" s="119">
        <v>62</v>
      </c>
    </row>
    <row r="17" spans="1:7" ht="24" customHeight="1">
      <c r="A17" s="305"/>
      <c r="B17" s="364"/>
      <c r="C17" s="364"/>
      <c r="D17" s="308"/>
      <c r="E17" s="140">
        <v>2008</v>
      </c>
      <c r="F17" s="41">
        <v>67</v>
      </c>
      <c r="G17" s="119">
        <v>63</v>
      </c>
    </row>
    <row r="18" spans="1:7" ht="24" customHeight="1">
      <c r="A18" s="305"/>
      <c r="B18" s="364">
        <v>70</v>
      </c>
      <c r="C18" s="364">
        <v>60</v>
      </c>
      <c r="D18" s="277" t="s">
        <v>246</v>
      </c>
      <c r="E18" s="140">
        <v>2006</v>
      </c>
      <c r="F18" s="41">
        <v>69</v>
      </c>
      <c r="G18" s="119">
        <v>68</v>
      </c>
    </row>
    <row r="19" spans="1:7" ht="24" customHeight="1">
      <c r="A19" s="305"/>
      <c r="B19" s="364"/>
      <c r="C19" s="364"/>
      <c r="D19" s="308"/>
      <c r="E19" s="140">
        <v>2007</v>
      </c>
      <c r="F19" s="83">
        <v>69</v>
      </c>
      <c r="G19" s="121">
        <v>67</v>
      </c>
    </row>
    <row r="20" spans="1:7" ht="24" customHeight="1" thickBot="1">
      <c r="A20" s="306"/>
      <c r="B20" s="368"/>
      <c r="C20" s="368"/>
      <c r="D20" s="309"/>
      <c r="E20" s="210">
        <v>2008</v>
      </c>
      <c r="F20" s="29">
        <v>69</v>
      </c>
      <c r="G20" s="223">
        <v>67</v>
      </c>
    </row>
    <row r="21" spans="1:7" ht="20.25" customHeight="1">
      <c r="A21" s="6"/>
      <c r="B21" s="7"/>
      <c r="C21" s="7"/>
      <c r="D21" s="6"/>
      <c r="E21" s="8"/>
      <c r="F21" s="5"/>
      <c r="G21" s="5"/>
    </row>
    <row r="22" spans="1:7" ht="13.5" customHeight="1">
      <c r="A22" s="44" t="s">
        <v>195</v>
      </c>
      <c r="B22" s="44"/>
      <c r="C22" s="44"/>
      <c r="D22" s="44"/>
      <c r="E22" s="44"/>
      <c r="F22" s="44"/>
      <c r="G22" s="44"/>
    </row>
    <row r="23" spans="1:7" ht="13.5" customHeight="1">
      <c r="A23" s="44" t="s">
        <v>196</v>
      </c>
      <c r="B23" s="44"/>
      <c r="C23" s="44"/>
      <c r="D23" s="44"/>
      <c r="E23" s="44"/>
      <c r="F23" s="44"/>
      <c r="G23" s="44"/>
    </row>
    <row r="24" spans="1:7" ht="13.5" customHeight="1">
      <c r="A24" s="44" t="s">
        <v>197</v>
      </c>
      <c r="B24" s="44"/>
      <c r="C24" s="44"/>
      <c r="D24" s="44"/>
      <c r="E24" s="44"/>
      <c r="F24" s="44"/>
      <c r="G24" s="44"/>
    </row>
    <row r="25" spans="1:7" ht="13.5">
      <c r="A25" s="44" t="s">
        <v>182</v>
      </c>
      <c r="B25" s="44"/>
      <c r="C25" s="44"/>
      <c r="D25" s="44"/>
      <c r="E25" s="44"/>
      <c r="F25" s="44"/>
      <c r="G25" s="44"/>
    </row>
  </sheetData>
  <mergeCells count="22">
    <mergeCell ref="A1:I1"/>
    <mergeCell ref="A6:A14"/>
    <mergeCell ref="B6:B8"/>
    <mergeCell ref="C6:C8"/>
    <mergeCell ref="D6:D8"/>
    <mergeCell ref="B9:B11"/>
    <mergeCell ref="C9:C11"/>
    <mergeCell ref="D9:D11"/>
    <mergeCell ref="B12:B14"/>
    <mergeCell ref="C12:C14"/>
    <mergeCell ref="A15:A20"/>
    <mergeCell ref="B15:B17"/>
    <mergeCell ref="C15:C17"/>
    <mergeCell ref="D15:D17"/>
    <mergeCell ref="B18:B20"/>
    <mergeCell ref="C18:C20"/>
    <mergeCell ref="D18:D20"/>
    <mergeCell ref="F4:G4"/>
    <mergeCell ref="D12:D14"/>
    <mergeCell ref="A4:A5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2" sqref="A2:F2"/>
    </sheetView>
  </sheetViews>
  <sheetFormatPr defaultColWidth="8.88671875" defaultRowHeight="13.5"/>
  <cols>
    <col min="1" max="1" width="7.10546875" style="0" customWidth="1"/>
    <col min="2" max="2" width="4.99609375" style="0" customWidth="1"/>
    <col min="3" max="3" width="21.21484375" style="0" customWidth="1"/>
    <col min="4" max="4" width="6.10546875" style="0" customWidth="1"/>
    <col min="5" max="5" width="24.5546875" style="0" customWidth="1"/>
    <col min="6" max="6" width="6.5546875" style="0" customWidth="1"/>
  </cols>
  <sheetData>
    <row r="1" ht="24.75" customHeight="1"/>
    <row r="2" spans="1:6" ht="24.75" customHeight="1">
      <c r="A2" s="273" t="s">
        <v>109</v>
      </c>
      <c r="B2" s="273"/>
      <c r="C2" s="273"/>
      <c r="D2" s="273"/>
      <c r="E2" s="273"/>
      <c r="F2" s="273"/>
    </row>
    <row r="3" spans="1:6" ht="24.75" customHeight="1" thickBot="1">
      <c r="A3" s="3"/>
      <c r="B3" s="3"/>
      <c r="C3" s="3"/>
      <c r="D3" s="3"/>
      <c r="E3" s="355" t="s">
        <v>52</v>
      </c>
      <c r="F3" s="355"/>
    </row>
    <row r="4" spans="1:6" ht="39" customHeight="1" thickBot="1">
      <c r="A4" s="371" t="s">
        <v>84</v>
      </c>
      <c r="B4" s="372"/>
      <c r="C4" s="33" t="s">
        <v>85</v>
      </c>
      <c r="D4" s="33" t="s">
        <v>86</v>
      </c>
      <c r="E4" s="33" t="s">
        <v>87</v>
      </c>
      <c r="F4" s="34" t="s">
        <v>86</v>
      </c>
    </row>
    <row r="5" spans="1:6" ht="74.25" customHeight="1" thickTop="1">
      <c r="A5" s="304" t="s">
        <v>80</v>
      </c>
      <c r="B5" s="31" t="s">
        <v>81</v>
      </c>
      <c r="C5" s="113" t="s">
        <v>1</v>
      </c>
      <c r="D5" s="31">
        <f>ROUND(MAX('5. 지점별'!$L$6:$L$8,'5. 지점별'!$L$13:$L$15,'5. 지점별'!$L$20:$L$22,'5. 지점별'!$L$27:$L$28,'5. 지점별'!$L$34:$L$36,'5. 지점별'!$L$41:$L$43,'5. 지점별'!$L$48:$L$50),0)</f>
        <v>62</v>
      </c>
      <c r="E5" s="190" t="s">
        <v>231</v>
      </c>
      <c r="F5" s="105">
        <f>ROUND(MIN('5. 지점별'!$L$6:$L$8,'5. 지점별'!$L$13:$L$15,'5. 지점별'!$L$20:$L$22,'5. 지점별'!$L$27:$L$28,'5. 지점별'!$L$34:$L$36,'5. 지점별'!$L$41:$L$43,'5. 지점별'!$L$48:$L$50),0)</f>
        <v>52</v>
      </c>
    </row>
    <row r="6" spans="1:6" ht="127.5" customHeight="1" thickBot="1">
      <c r="A6" s="362"/>
      <c r="B6" s="35" t="s">
        <v>82</v>
      </c>
      <c r="C6" s="191" t="s">
        <v>232</v>
      </c>
      <c r="D6" s="31">
        <f>ROUND(MAX('5. 지점별'!$O$6:$O$8,'5. 지점별'!$O$13:$O$15,'5. 지점별'!$O$20:$O$22,'5. 지점별'!$O$27:$O$28,'5. 지점별'!$O$34:$O$36,'5. 지점별'!$O$41:$O$43,'5. 지점별'!$O$48:$O$50),0)</f>
        <v>54</v>
      </c>
      <c r="E6" s="30" t="s">
        <v>230</v>
      </c>
      <c r="F6" s="105">
        <f>ROUND(MIN('5. 지점별'!$O$6:$O$8,'5. 지점별'!$O$13:$O$15,'5. 지점별'!$O$20:$O$22,'5. 지점별'!$O$27:$O$28,'5. 지점별'!$O$34:$O$36,'5. 지점별'!$O$41:$O$43,'5. 지점별'!$O$48:$O$50),0)</f>
        <v>42</v>
      </c>
    </row>
    <row r="7" spans="1:6" ht="87.75" customHeight="1">
      <c r="A7" s="299" t="s">
        <v>83</v>
      </c>
      <c r="B7" s="20" t="s">
        <v>81</v>
      </c>
      <c r="C7" s="36" t="s">
        <v>233</v>
      </c>
      <c r="D7" s="20">
        <f>ROUND(MAX('5. 지점별'!$L$38:$L$39,'5. 지점별'!$L$45:$L$46,'5. 지점별'!$L$52:$L$53,'5. 지점별'!$L$31:$L$32,'5. 지점별'!$L$24:$L$25,'5. 지점별'!$L$17:$L$18,'5. 지점별'!$L$10:$L$11),0)</f>
        <v>71</v>
      </c>
      <c r="E7" s="32" t="s">
        <v>255</v>
      </c>
      <c r="F7" s="104">
        <f>ROUND(MIN('5. 지점별'!$L$38:$L$39,'5. 지점별'!$L$45:$L$46,'5. 지점별'!$L$52:$L$53,'5. 지점별'!$L$31:$L$32,'5. 지점별'!$L$24:$L$25,'5. 지점별'!$L$17:$L$18,'5. 지점별'!$L$10:$L$11),0)</f>
        <v>61</v>
      </c>
    </row>
    <row r="8" spans="1:9" ht="71.25" customHeight="1" thickBot="1">
      <c r="A8" s="306"/>
      <c r="B8" s="29" t="s">
        <v>82</v>
      </c>
      <c r="C8" s="124" t="s">
        <v>234</v>
      </c>
      <c r="D8" s="29">
        <f>ROUND(MAX('5. 지점별'!$O$10:$O$11,'5. 지점별'!$O$17:$O$18,'5. 지점별'!$O$24:$O$25,'5. 지점별'!$O$31:$O$32,'5. 지점별'!$O$38:$O$39,'5. 지점별'!$O$45:$O$46,'5. 지점별'!$O$52:$O$53),0)</f>
        <v>68</v>
      </c>
      <c r="E8" s="30" t="s">
        <v>256</v>
      </c>
      <c r="F8" s="106">
        <f>ROUND(MIN('5. 지점별'!$O$10:$O$11,'5. 지점별'!$O$17:$O$18,'5. 지점별'!$O$24:$O$25,'5. 지점별'!$O$31:$O$32,'5. 지점별'!$O$38:$O$39,'5. 지점별'!$O$45:$O$46,'5. 지점별'!$O$52:$O$53),0)</f>
        <v>56</v>
      </c>
      <c r="I8" s="123"/>
    </row>
    <row r="9" ht="13.5">
      <c r="E9" s="125"/>
    </row>
  </sheetData>
  <mergeCells count="5">
    <mergeCell ref="A2:F2"/>
    <mergeCell ref="A4:B4"/>
    <mergeCell ref="A5:A6"/>
    <mergeCell ref="A7:A8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1" sqref="A1:F1"/>
    </sheetView>
  </sheetViews>
  <sheetFormatPr defaultColWidth="8.88671875" defaultRowHeight="13.5"/>
  <cols>
    <col min="1" max="1" width="18.88671875" style="0" customWidth="1"/>
    <col min="2" max="2" width="10.4453125" style="0" customWidth="1"/>
    <col min="3" max="3" width="19.88671875" style="0" customWidth="1"/>
    <col min="4" max="4" width="12.77734375" style="0" customWidth="1"/>
    <col min="5" max="5" width="12.6640625" style="0" customWidth="1"/>
  </cols>
  <sheetData>
    <row r="1" spans="1:6" ht="27.75" customHeight="1" thickBot="1">
      <c r="A1" s="273" t="s">
        <v>110</v>
      </c>
      <c r="B1" s="273"/>
      <c r="C1" s="273"/>
      <c r="D1" s="273"/>
      <c r="E1" s="273"/>
      <c r="F1" s="273"/>
    </row>
    <row r="2" spans="1:5" ht="25.5" customHeight="1" thickBot="1">
      <c r="A2" s="161"/>
      <c r="B2" s="162" t="s">
        <v>113</v>
      </c>
      <c r="C2" s="162" t="s">
        <v>114</v>
      </c>
      <c r="D2" s="174" t="s">
        <v>2</v>
      </c>
      <c r="E2" s="175" t="s">
        <v>3</v>
      </c>
    </row>
    <row r="3" spans="1:5" ht="18.75" customHeight="1" thickTop="1">
      <c r="A3" s="373" t="s">
        <v>112</v>
      </c>
      <c r="B3" s="157" t="s">
        <v>115</v>
      </c>
      <c r="C3" s="158" t="s">
        <v>14</v>
      </c>
      <c r="D3" s="159" t="str">
        <f>IF('지점별 당해,전년, 지난분기'!B6&gt;50,"×","○")</f>
        <v>×</v>
      </c>
      <c r="E3" s="160" t="str">
        <f>IF('지점별 당해,전년, 지난분기'!C6&gt;40,"×","○")</f>
        <v>×</v>
      </c>
    </row>
    <row r="4" spans="1:5" ht="18.75" customHeight="1">
      <c r="A4" s="374"/>
      <c r="B4" s="149" t="s">
        <v>116</v>
      </c>
      <c r="C4" s="150" t="s">
        <v>15</v>
      </c>
      <c r="D4" s="151" t="str">
        <f>IF('지점별 당해,전년, 지난분기'!B7&gt;50,"×","○")</f>
        <v>×</v>
      </c>
      <c r="E4" s="152" t="str">
        <f>IF('지점별 당해,전년, 지난분기'!C7&gt;40,"×","○")</f>
        <v>×</v>
      </c>
    </row>
    <row r="5" spans="1:5" ht="18.75" customHeight="1">
      <c r="A5" s="374"/>
      <c r="B5" s="149" t="s">
        <v>116</v>
      </c>
      <c r="C5" s="150" t="s">
        <v>16</v>
      </c>
      <c r="D5" s="151" t="str">
        <f>IF('지점별 당해,전년, 지난분기'!B8&gt;50,"×","○")</f>
        <v>×</v>
      </c>
      <c r="E5" s="152" t="str">
        <f>IF('지점별 당해,전년, 지난분기'!C8&gt;40,"×","○")</f>
        <v>×</v>
      </c>
    </row>
    <row r="6" spans="1:5" ht="18.75" customHeight="1">
      <c r="A6" s="374"/>
      <c r="B6" s="149" t="s">
        <v>117</v>
      </c>
      <c r="C6" s="150" t="s">
        <v>18</v>
      </c>
      <c r="D6" s="151" t="str">
        <f>IF('지점별 당해,전년, 지난분기'!B9&gt;65,"×","○")</f>
        <v>×</v>
      </c>
      <c r="E6" s="152" t="str">
        <f>IF('지점별 당해,전년, 지난분기'!C9&gt;55,"×","○")</f>
        <v>×</v>
      </c>
    </row>
    <row r="7" spans="1:5" ht="18.75" customHeight="1" thickBot="1">
      <c r="A7" s="375"/>
      <c r="B7" s="163" t="s">
        <v>116</v>
      </c>
      <c r="C7" s="164" t="s">
        <v>19</v>
      </c>
      <c r="D7" s="165" t="str">
        <f>IF('지점별 당해,전년, 지난분기'!B10&gt;65,"×","○")</f>
        <v>○</v>
      </c>
      <c r="E7" s="166" t="str">
        <f>IF('지점별 당해,전년, 지난분기'!C10&gt;55,"×","○")</f>
        <v>×</v>
      </c>
    </row>
    <row r="8" spans="1:5" ht="18.75" customHeight="1">
      <c r="A8" s="376" t="s">
        <v>164</v>
      </c>
      <c r="B8" s="168" t="s">
        <v>115</v>
      </c>
      <c r="C8" s="169" t="s">
        <v>165</v>
      </c>
      <c r="D8" s="170" t="str">
        <f>IF('지점별 당해,전년, 지난분기'!B11&gt;50,"×","○")</f>
        <v>×</v>
      </c>
      <c r="E8" s="171" t="str">
        <f>IF('지점별 당해,전년, 지난분기'!C11&gt;40,"×","○")</f>
        <v>×</v>
      </c>
    </row>
    <row r="9" spans="1:5" ht="18.75" customHeight="1">
      <c r="A9" s="374"/>
      <c r="B9" s="149" t="s">
        <v>116</v>
      </c>
      <c r="C9" s="150" t="s">
        <v>166</v>
      </c>
      <c r="D9" s="151" t="str">
        <f>IF('지점별 당해,전년, 지난분기'!B12&gt;50,"×","○")</f>
        <v>×</v>
      </c>
      <c r="E9" s="152" t="str">
        <f>IF('지점별 당해,전년, 지난분기'!C12&gt;40,"×","○")</f>
        <v>×</v>
      </c>
    </row>
    <row r="10" spans="1:5" ht="18.75" customHeight="1">
      <c r="A10" s="374"/>
      <c r="B10" s="149" t="s">
        <v>116</v>
      </c>
      <c r="C10" s="150" t="s">
        <v>167</v>
      </c>
      <c r="D10" s="151" t="str">
        <f>IF('지점별 당해,전년, 지난분기'!B13&gt;50,"×","○")</f>
        <v>×</v>
      </c>
      <c r="E10" s="152" t="str">
        <f>IF('지점별 당해,전년, 지난분기'!C13&gt;40,"×","○")</f>
        <v>×</v>
      </c>
    </row>
    <row r="11" spans="1:5" ht="18.75" customHeight="1">
      <c r="A11" s="374"/>
      <c r="B11" s="149" t="s">
        <v>117</v>
      </c>
      <c r="C11" s="150" t="s">
        <v>168</v>
      </c>
      <c r="D11" s="151" t="str">
        <f>IF('지점별 당해,전년, 지난분기'!B14&gt;65,"×","○")</f>
        <v>○</v>
      </c>
      <c r="E11" s="152" t="str">
        <f>IF('지점별 당해,전년, 지난분기'!C14&gt;55,"×","○")</f>
        <v>×</v>
      </c>
    </row>
    <row r="12" spans="1:5" ht="18.75" customHeight="1" thickBot="1">
      <c r="A12" s="375"/>
      <c r="B12" s="153" t="s">
        <v>116</v>
      </c>
      <c r="C12" s="154" t="s">
        <v>169</v>
      </c>
      <c r="D12" s="155" t="str">
        <f>IF('지점별 당해,전년, 지난분기'!B15&gt;65,"×","○")</f>
        <v>○</v>
      </c>
      <c r="E12" s="156" t="str">
        <f>IF('지점별 당해,전년, 지난분기'!C15&gt;55,"×","○")</f>
        <v>×</v>
      </c>
    </row>
    <row r="13" spans="1:5" ht="18.75" customHeight="1">
      <c r="A13" s="376" t="s">
        <v>118</v>
      </c>
      <c r="B13" s="157" t="s">
        <v>115</v>
      </c>
      <c r="C13" s="158" t="s">
        <v>170</v>
      </c>
      <c r="D13" s="167" t="str">
        <f>IF('지점별 당해,전년, 지난분기'!B16&gt;55,"×","○")</f>
        <v>○</v>
      </c>
      <c r="E13" s="160" t="str">
        <f>IF('지점별 당해,전년, 지난분기'!C16&gt;45,"×","○")</f>
        <v>×</v>
      </c>
    </row>
    <row r="14" spans="1:5" ht="18.75" customHeight="1">
      <c r="A14" s="374"/>
      <c r="B14" s="149" t="s">
        <v>116</v>
      </c>
      <c r="C14" s="150" t="s">
        <v>21</v>
      </c>
      <c r="D14" s="151" t="str">
        <f>IF('지점별 당해,전년, 지난분기'!B17&gt;55,"×","○")</f>
        <v>○</v>
      </c>
      <c r="E14" s="152" t="str">
        <f>IF('지점별 당해,전년, 지난분기'!C17&gt;45,"×","○")</f>
        <v>×</v>
      </c>
    </row>
    <row r="15" spans="1:5" ht="18.75" customHeight="1">
      <c r="A15" s="374"/>
      <c r="B15" s="149" t="s">
        <v>116</v>
      </c>
      <c r="C15" s="150" t="s">
        <v>22</v>
      </c>
      <c r="D15" s="151" t="str">
        <f>IF('지점별 당해,전년, 지난분기'!B18&gt;55,"×","○")</f>
        <v>○</v>
      </c>
      <c r="E15" s="152" t="str">
        <f>IF('지점별 당해,전년, 지난분기'!C18&gt;45,"×","○")</f>
        <v>×</v>
      </c>
    </row>
    <row r="16" spans="1:5" ht="18.75" customHeight="1">
      <c r="A16" s="374"/>
      <c r="B16" s="149" t="s">
        <v>117</v>
      </c>
      <c r="C16" s="150" t="s">
        <v>171</v>
      </c>
      <c r="D16" s="151" t="str">
        <f>IF('지점별 당해,전년, 지난분기'!B19&gt;65,"×","○")</f>
        <v>×</v>
      </c>
      <c r="E16" s="152" t="str">
        <f>IF('지점별 당해,전년, 지난분기'!C19&gt;55,"×","○")</f>
        <v>×</v>
      </c>
    </row>
    <row r="17" spans="1:5" ht="18.75" customHeight="1" thickBot="1">
      <c r="A17" s="375"/>
      <c r="B17" s="163" t="s">
        <v>116</v>
      </c>
      <c r="C17" s="164" t="s">
        <v>172</v>
      </c>
      <c r="D17" s="165" t="str">
        <f>IF('지점별 당해,전년, 지난분기'!B20&gt;65,"×","○")</f>
        <v>×</v>
      </c>
      <c r="E17" s="166" t="str">
        <f>IF('지점별 당해,전년, 지난분기'!C20&gt;55,"×","○")</f>
        <v>×</v>
      </c>
    </row>
    <row r="18" spans="1:5" ht="18.75" customHeight="1">
      <c r="A18" s="376" t="s">
        <v>119</v>
      </c>
      <c r="B18" s="168" t="s">
        <v>115</v>
      </c>
      <c r="C18" s="169" t="s">
        <v>190</v>
      </c>
      <c r="D18" s="170" t="str">
        <f>IF('지점별 당해,전년, 지난분기'!B21&gt;55,"×","○")</f>
        <v>×</v>
      </c>
      <c r="E18" s="171" t="str">
        <f>IF('지점별 당해,전년, 지난분기'!C21&gt;45,"×","○")</f>
        <v>×</v>
      </c>
    </row>
    <row r="19" spans="1:5" ht="18.75" customHeight="1">
      <c r="A19" s="374"/>
      <c r="B19" s="149" t="s">
        <v>116</v>
      </c>
      <c r="C19" s="150" t="s">
        <v>188</v>
      </c>
      <c r="D19" s="151" t="str">
        <f>IF('지점별 당해,전년, 지난분기'!B22&gt;55,"×","○")</f>
        <v>×</v>
      </c>
      <c r="E19" s="152" t="str">
        <f>IF('지점별 당해,전년, 지난분기'!C22&gt;45,"×","○")</f>
        <v>×</v>
      </c>
    </row>
    <row r="20" spans="1:5" ht="18.75" customHeight="1">
      <c r="A20" s="374"/>
      <c r="B20" s="149" t="s">
        <v>116</v>
      </c>
      <c r="C20" s="150" t="s">
        <v>23</v>
      </c>
      <c r="D20" s="151" t="str">
        <f>IF('지점별 당해,전년, 지난분기'!B23&gt;55,"×","○")</f>
        <v>○</v>
      </c>
      <c r="E20" s="152" t="str">
        <f>IF('지점별 당해,전년, 지난분기'!C23&gt;45,"×","○")</f>
        <v>×</v>
      </c>
    </row>
    <row r="21" spans="1:5" ht="18.75" customHeight="1">
      <c r="A21" s="374"/>
      <c r="B21" s="149" t="s">
        <v>117</v>
      </c>
      <c r="C21" s="150" t="s">
        <v>173</v>
      </c>
      <c r="D21" s="151" t="str">
        <f>IF('지점별 당해,전년, 지난분기'!B24&gt;65,"×","○")</f>
        <v>×</v>
      </c>
      <c r="E21" s="152" t="str">
        <f>IF('지점별 당해,전년, 지난분기'!C24&gt;55,"×","○")</f>
        <v>×</v>
      </c>
    </row>
    <row r="22" spans="1:5" ht="18.75" customHeight="1" thickBot="1">
      <c r="A22" s="375"/>
      <c r="B22" s="153" t="s">
        <v>116</v>
      </c>
      <c r="C22" s="154" t="s">
        <v>174</v>
      </c>
      <c r="D22" s="155" t="str">
        <f>IF('지점별 당해,전년, 지난분기'!B25&gt;65,"×","○")</f>
        <v>×</v>
      </c>
      <c r="E22" s="156" t="str">
        <f>IF('지점별 당해,전년, 지난분기'!C25&gt;55,"×","○")</f>
        <v>×</v>
      </c>
    </row>
    <row r="23" spans="1:5" ht="18.75" customHeight="1">
      <c r="A23" s="376" t="s">
        <v>120</v>
      </c>
      <c r="B23" s="157" t="s">
        <v>115</v>
      </c>
      <c r="C23" s="158" t="s">
        <v>24</v>
      </c>
      <c r="D23" s="167" t="str">
        <f>IF('지점별 당해,전년, 지난분기'!B26&gt;55,"×","○")</f>
        <v>○</v>
      </c>
      <c r="E23" s="160" t="str">
        <f>IF('지점별 당해,전년, 지난분기'!C26&gt;45,"×","○")</f>
        <v>×</v>
      </c>
    </row>
    <row r="24" spans="1:5" ht="18.75" customHeight="1">
      <c r="A24" s="374"/>
      <c r="B24" s="149" t="s">
        <v>116</v>
      </c>
      <c r="C24" s="150" t="s">
        <v>175</v>
      </c>
      <c r="D24" s="151" t="str">
        <f>IF('지점별 당해,전년, 지난분기'!B27&gt;55,"×","○")</f>
        <v>○</v>
      </c>
      <c r="E24" s="152" t="str">
        <f>IF('지점별 당해,전년, 지난분기'!C27&gt;45,"×","○")</f>
        <v>×</v>
      </c>
    </row>
    <row r="25" spans="1:5" ht="18.75" customHeight="1">
      <c r="A25" s="374"/>
      <c r="B25" s="149" t="s">
        <v>116</v>
      </c>
      <c r="C25" s="150" t="s">
        <v>25</v>
      </c>
      <c r="D25" s="151" t="str">
        <f>IF('지점별 당해,전년, 지난분기'!B28&gt;55,"×","○")</f>
        <v>×</v>
      </c>
      <c r="E25" s="152" t="str">
        <f>IF('지점별 당해,전년, 지난분기'!C28&gt;45,"×","○")</f>
        <v>×</v>
      </c>
    </row>
    <row r="26" spans="1:5" ht="18.75" customHeight="1">
      <c r="A26" s="374"/>
      <c r="B26" s="149" t="s">
        <v>117</v>
      </c>
      <c r="C26" s="150" t="s">
        <v>26</v>
      </c>
      <c r="D26" s="151" t="str">
        <f>IF('지점별 당해,전년, 지난분기'!B29&gt;65,"×","○")</f>
        <v>×</v>
      </c>
      <c r="E26" s="152" t="str">
        <f>IF('지점별 당해,전년, 지난분기'!C29&gt;55,"×","○")</f>
        <v>×</v>
      </c>
    </row>
    <row r="27" spans="1:5" ht="18.75" customHeight="1" thickBot="1">
      <c r="A27" s="375"/>
      <c r="B27" s="163" t="s">
        <v>116</v>
      </c>
      <c r="C27" s="164" t="s">
        <v>27</v>
      </c>
      <c r="D27" s="165" t="str">
        <f>IF('지점별 당해,전년, 지난분기'!B30&gt;65,"×","○")</f>
        <v>×</v>
      </c>
      <c r="E27" s="166" t="str">
        <f>IF('지점별 당해,전년, 지난분기'!C30&gt;55,"×","○")</f>
        <v>×</v>
      </c>
    </row>
    <row r="28" spans="1:5" ht="18.75" customHeight="1">
      <c r="A28" s="376" t="s">
        <v>121</v>
      </c>
      <c r="B28" s="168" t="s">
        <v>115</v>
      </c>
      <c r="C28" s="169" t="s">
        <v>176</v>
      </c>
      <c r="D28" s="170" t="str">
        <f>IF('지점별 당해,전년, 지난분기'!B31&gt;65,"×","○")</f>
        <v>○</v>
      </c>
      <c r="E28" s="171" t="str">
        <f>IF('지점별 당해,전년, 지난분기'!C31&gt;55,"×","○")</f>
        <v>○</v>
      </c>
    </row>
    <row r="29" spans="1:5" ht="18.75" customHeight="1">
      <c r="A29" s="374"/>
      <c r="B29" s="149" t="s">
        <v>116</v>
      </c>
      <c r="C29" s="150" t="s">
        <v>29</v>
      </c>
      <c r="D29" s="151" t="str">
        <f>IF('지점별 당해,전년, 지난분기'!B32&gt;65,"×","○")</f>
        <v>○</v>
      </c>
      <c r="E29" s="152" t="str">
        <f>IF('지점별 당해,전년, 지난분기'!C32&gt;55,"×","○")</f>
        <v>×</v>
      </c>
    </row>
    <row r="30" spans="1:5" ht="18.75" customHeight="1">
      <c r="A30" s="374"/>
      <c r="B30" s="149" t="s">
        <v>116</v>
      </c>
      <c r="C30" s="150" t="s">
        <v>122</v>
      </c>
      <c r="D30" s="151" t="str">
        <f>IF('지점별 당해,전년, 지난분기'!B33&gt;65,"×","○")</f>
        <v>○</v>
      </c>
      <c r="E30" s="152" t="str">
        <f>IF('지점별 당해,전년, 지난분기'!C33&gt;55,"×","○")</f>
        <v>○</v>
      </c>
    </row>
    <row r="31" spans="1:5" ht="18.75" customHeight="1">
      <c r="A31" s="374"/>
      <c r="B31" s="149" t="s">
        <v>117</v>
      </c>
      <c r="C31" s="150" t="s">
        <v>177</v>
      </c>
      <c r="D31" s="151" t="str">
        <f>IF('지점별 당해,전년, 지난분기'!B34&gt;70,"×","○")</f>
        <v>○</v>
      </c>
      <c r="E31" s="152" t="str">
        <f>IF('지점별 당해,전년, 지난분기'!C34&gt;60,"×","○")</f>
        <v>×</v>
      </c>
    </row>
    <row r="32" spans="1:5" ht="18.75" customHeight="1" thickBot="1">
      <c r="A32" s="375"/>
      <c r="B32" s="153" t="s">
        <v>116</v>
      </c>
      <c r="C32" s="154" t="s">
        <v>178</v>
      </c>
      <c r="D32" s="155" t="str">
        <f>IF('지점별 당해,전년, 지난분기'!B35&gt;70,"×","○")</f>
        <v>○</v>
      </c>
      <c r="E32" s="156" t="str">
        <f>IF('지점별 당해,전년, 지난분기'!C35&gt;60,"×","○")</f>
        <v>×</v>
      </c>
    </row>
    <row r="33" spans="1:5" ht="18.75" customHeight="1">
      <c r="A33" s="376" t="s">
        <v>123</v>
      </c>
      <c r="B33" s="157" t="s">
        <v>115</v>
      </c>
      <c r="C33" s="158" t="s">
        <v>30</v>
      </c>
      <c r="D33" s="167" t="str">
        <f>IF('지점별 당해,전년, 지난분기'!B36&gt;65,"×","○")</f>
        <v>○</v>
      </c>
      <c r="E33" s="160" t="str">
        <f>IF('지점별 당해,전년, 지난분기'!C36&gt;55,"×","○")</f>
        <v>○</v>
      </c>
    </row>
    <row r="34" spans="1:5" ht="18.75" customHeight="1">
      <c r="A34" s="374"/>
      <c r="B34" s="149" t="s">
        <v>116</v>
      </c>
      <c r="C34" s="150" t="s">
        <v>179</v>
      </c>
      <c r="D34" s="151" t="str">
        <f>IF('지점별 당해,전년, 지난분기'!B37&gt;65,"×","○")</f>
        <v>○</v>
      </c>
      <c r="E34" s="152" t="str">
        <f>IF('지점별 당해,전년, 지난분기'!C37&gt;55,"×","○")</f>
        <v>○</v>
      </c>
    </row>
    <row r="35" spans="1:5" ht="18.75" customHeight="1">
      <c r="A35" s="374"/>
      <c r="B35" s="149" t="s">
        <v>116</v>
      </c>
      <c r="C35" s="150" t="s">
        <v>180</v>
      </c>
      <c r="D35" s="151" t="str">
        <f>IF('지점별 당해,전년, 지난분기'!B38&gt;65,"×","○")</f>
        <v>○</v>
      </c>
      <c r="E35" s="152" t="str">
        <f>IF('지점별 당해,전년, 지난분기'!C38&gt;55,"×","○")</f>
        <v>○</v>
      </c>
    </row>
    <row r="36" spans="1:5" ht="18.75" customHeight="1">
      <c r="A36" s="374"/>
      <c r="B36" s="149" t="s">
        <v>117</v>
      </c>
      <c r="C36" s="150" t="s">
        <v>181</v>
      </c>
      <c r="D36" s="151" t="str">
        <f>IF('지점별 당해,전년, 지난분기'!B39&gt;70,"×","○")</f>
        <v>×</v>
      </c>
      <c r="E36" s="152" t="str">
        <f>IF('지점별 당해,전년, 지난분기'!C39&gt;60,"×","○")</f>
        <v>×</v>
      </c>
    </row>
    <row r="37" spans="1:5" ht="18.75" customHeight="1" thickBot="1">
      <c r="A37" s="375"/>
      <c r="B37" s="153" t="s">
        <v>116</v>
      </c>
      <c r="C37" s="154" t="s">
        <v>31</v>
      </c>
      <c r="D37" s="155" t="str">
        <f>IF('지점별 당해,전년, 지난분기'!B40&gt;70,"×","○")</f>
        <v>○</v>
      </c>
      <c r="E37" s="156" t="str">
        <f>IF('지점별 당해,전년, 지난분기'!C40&gt;60,"×","○")</f>
        <v>×</v>
      </c>
    </row>
    <row r="38" ht="13.5" customHeight="1"/>
  </sheetData>
  <mergeCells count="8">
    <mergeCell ref="A18:A22"/>
    <mergeCell ref="A23:A27"/>
    <mergeCell ref="A28:A32"/>
    <mergeCell ref="A33:A37"/>
    <mergeCell ref="A1:F1"/>
    <mergeCell ref="A3:A7"/>
    <mergeCell ref="A8:A12"/>
    <mergeCell ref="A13:A17"/>
  </mergeCells>
  <conditionalFormatting sqref="D3:E37">
    <cfRule type="cellIs" priority="1" dxfId="2" operator="equal" stopIfTrue="1">
      <formula>"○"</formula>
    </cfRule>
    <cfRule type="cellIs" priority="2" dxfId="0" operator="equal" stopIfTrue="1">
      <formula>"×"</formula>
    </cfRule>
  </conditionalFormatting>
  <printOptions horizontalCentered="1"/>
  <pageMargins left="0.75" right="0.7480314960629921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C10" sqref="C10"/>
    </sheetView>
  </sheetViews>
  <sheetFormatPr defaultColWidth="8.88671875" defaultRowHeight="13.5"/>
  <cols>
    <col min="1" max="1" width="19.5546875" style="0" customWidth="1"/>
    <col min="2" max="7" width="8.77734375" style="0" customWidth="1"/>
    <col min="8" max="14" width="6.77734375" style="0" customWidth="1"/>
  </cols>
  <sheetData>
    <row r="2" spans="1:7" ht="19.5" customHeight="1">
      <c r="A2" s="43" t="s">
        <v>200</v>
      </c>
      <c r="B2" s="43"/>
      <c r="C2" s="43"/>
      <c r="D2" s="2"/>
      <c r="E2" s="2"/>
      <c r="F2" s="2"/>
      <c r="G2" s="2"/>
    </row>
    <row r="3" spans="6:7" ht="14.25" thickBot="1">
      <c r="F3" s="255" t="s">
        <v>111</v>
      </c>
      <c r="G3" s="255"/>
    </row>
    <row r="4" spans="1:7" ht="18.75" customHeight="1">
      <c r="A4" s="381" t="s">
        <v>201</v>
      </c>
      <c r="B4" s="379" t="s">
        <v>252</v>
      </c>
      <c r="C4" s="379"/>
      <c r="D4" s="379" t="s">
        <v>249</v>
      </c>
      <c r="E4" s="379"/>
      <c r="F4" s="379" t="s">
        <v>250</v>
      </c>
      <c r="G4" s="380"/>
    </row>
    <row r="5" spans="1:7" ht="20.25" customHeight="1" thickBot="1">
      <c r="A5" s="382"/>
      <c r="B5" s="137" t="s">
        <v>202</v>
      </c>
      <c r="C5" s="138" t="s">
        <v>203</v>
      </c>
      <c r="D5" s="137" t="s">
        <v>202</v>
      </c>
      <c r="E5" s="138" t="s">
        <v>203</v>
      </c>
      <c r="F5" s="137" t="s">
        <v>202</v>
      </c>
      <c r="G5" s="139" t="s">
        <v>203</v>
      </c>
    </row>
    <row r="6" spans="1:7" ht="14.25" thickTop="1">
      <c r="A6" s="126" t="s">
        <v>14</v>
      </c>
      <c r="B6" s="48">
        <v>53</v>
      </c>
      <c r="C6" s="49">
        <v>47</v>
      </c>
      <c r="D6" s="48">
        <v>51</v>
      </c>
      <c r="E6" s="49">
        <v>49</v>
      </c>
      <c r="F6" s="48">
        <v>51</v>
      </c>
      <c r="G6" s="127">
        <v>48</v>
      </c>
    </row>
    <row r="7" spans="1:7" ht="13.5">
      <c r="A7" s="128" t="s">
        <v>15</v>
      </c>
      <c r="B7" s="45">
        <v>52</v>
      </c>
      <c r="C7" s="47">
        <v>47</v>
      </c>
      <c r="D7" s="45">
        <v>54</v>
      </c>
      <c r="E7" s="47">
        <v>48</v>
      </c>
      <c r="F7" s="45">
        <v>53</v>
      </c>
      <c r="G7" s="129">
        <v>47</v>
      </c>
    </row>
    <row r="8" spans="1:7" ht="13.5">
      <c r="A8" s="128" t="s">
        <v>16</v>
      </c>
      <c r="B8" s="45">
        <v>56</v>
      </c>
      <c r="C8" s="47">
        <v>52</v>
      </c>
      <c r="D8" s="45">
        <v>55</v>
      </c>
      <c r="E8" s="47">
        <v>53</v>
      </c>
      <c r="F8" s="45">
        <v>54</v>
      </c>
      <c r="G8" s="129">
        <v>51</v>
      </c>
    </row>
    <row r="9" spans="1:7" ht="13.5">
      <c r="A9" s="128" t="s">
        <v>204</v>
      </c>
      <c r="B9" s="45">
        <v>67</v>
      </c>
      <c r="C9" s="47">
        <v>62</v>
      </c>
      <c r="D9" s="45">
        <v>67</v>
      </c>
      <c r="E9" s="47">
        <v>59</v>
      </c>
      <c r="F9" s="45">
        <v>67</v>
      </c>
      <c r="G9" s="129">
        <v>56</v>
      </c>
    </row>
    <row r="10" spans="1:7" ht="14.25" thickBot="1">
      <c r="A10" s="130" t="s">
        <v>19</v>
      </c>
      <c r="B10" s="51">
        <v>61</v>
      </c>
      <c r="C10" s="52">
        <v>56</v>
      </c>
      <c r="D10" s="51">
        <v>61</v>
      </c>
      <c r="E10" s="52">
        <v>58</v>
      </c>
      <c r="F10" s="51">
        <v>60</v>
      </c>
      <c r="G10" s="131">
        <v>56</v>
      </c>
    </row>
    <row r="11" spans="1:7" ht="14.25" thickTop="1">
      <c r="A11" s="126" t="s">
        <v>205</v>
      </c>
      <c r="B11" s="48">
        <v>56</v>
      </c>
      <c r="C11" s="49">
        <v>49</v>
      </c>
      <c r="D11" s="48">
        <v>55</v>
      </c>
      <c r="E11" s="49">
        <v>45</v>
      </c>
      <c r="F11" s="48">
        <v>56</v>
      </c>
      <c r="G11" s="127">
        <v>45</v>
      </c>
    </row>
    <row r="12" spans="1:7" ht="13.5">
      <c r="A12" s="128" t="s">
        <v>206</v>
      </c>
      <c r="B12" s="45">
        <v>56</v>
      </c>
      <c r="C12" s="47">
        <v>44</v>
      </c>
      <c r="D12" s="45">
        <v>54</v>
      </c>
      <c r="E12" s="47">
        <v>46</v>
      </c>
      <c r="F12" s="45">
        <v>54</v>
      </c>
      <c r="G12" s="129">
        <v>46</v>
      </c>
    </row>
    <row r="13" spans="1:7" ht="13.5">
      <c r="A13" s="128" t="s">
        <v>207</v>
      </c>
      <c r="B13" s="45">
        <v>57</v>
      </c>
      <c r="C13" s="47">
        <v>50</v>
      </c>
      <c r="D13" s="45">
        <v>57</v>
      </c>
      <c r="E13" s="47">
        <v>49</v>
      </c>
      <c r="F13" s="45">
        <v>57</v>
      </c>
      <c r="G13" s="129">
        <v>50</v>
      </c>
    </row>
    <row r="14" spans="1:7" ht="13.5">
      <c r="A14" s="128" t="s">
        <v>208</v>
      </c>
      <c r="B14" s="45">
        <v>62</v>
      </c>
      <c r="C14" s="47">
        <v>56</v>
      </c>
      <c r="D14" s="45">
        <v>62</v>
      </c>
      <c r="E14" s="47">
        <v>57</v>
      </c>
      <c r="F14" s="45">
        <v>62</v>
      </c>
      <c r="G14" s="129">
        <v>54</v>
      </c>
    </row>
    <row r="15" spans="1:7" ht="14.25" thickBot="1">
      <c r="A15" s="130" t="s">
        <v>209</v>
      </c>
      <c r="B15" s="51">
        <v>65</v>
      </c>
      <c r="C15" s="52">
        <v>60</v>
      </c>
      <c r="D15" s="51">
        <v>65</v>
      </c>
      <c r="E15" s="52">
        <v>58</v>
      </c>
      <c r="F15" s="51">
        <v>66</v>
      </c>
      <c r="G15" s="131">
        <v>60</v>
      </c>
    </row>
    <row r="16" spans="1:7" ht="14.25" thickTop="1">
      <c r="A16" s="126" t="s">
        <v>210</v>
      </c>
      <c r="B16" s="48">
        <v>55</v>
      </c>
      <c r="C16" s="49">
        <v>53</v>
      </c>
      <c r="D16" s="48">
        <v>55</v>
      </c>
      <c r="E16" s="49">
        <v>51</v>
      </c>
      <c r="F16" s="48">
        <v>54</v>
      </c>
      <c r="G16" s="127">
        <v>53</v>
      </c>
    </row>
    <row r="17" spans="1:7" ht="13.5">
      <c r="A17" s="128" t="s">
        <v>21</v>
      </c>
      <c r="B17" s="45">
        <v>53</v>
      </c>
      <c r="C17" s="47">
        <v>48</v>
      </c>
      <c r="D17" s="45">
        <v>52</v>
      </c>
      <c r="E17" s="47">
        <v>50</v>
      </c>
      <c r="F17" s="45">
        <v>50</v>
      </c>
      <c r="G17" s="129">
        <v>48</v>
      </c>
    </row>
    <row r="18" spans="1:7" ht="13.5">
      <c r="A18" s="128" t="s">
        <v>22</v>
      </c>
      <c r="B18" s="45">
        <v>54</v>
      </c>
      <c r="C18" s="47">
        <v>47</v>
      </c>
      <c r="D18" s="45">
        <v>53</v>
      </c>
      <c r="E18" s="47">
        <v>49</v>
      </c>
      <c r="F18" s="45">
        <v>51</v>
      </c>
      <c r="G18" s="129">
        <v>45</v>
      </c>
    </row>
    <row r="19" spans="1:7" ht="13.5">
      <c r="A19" s="128" t="s">
        <v>211</v>
      </c>
      <c r="B19" s="45">
        <v>68</v>
      </c>
      <c r="C19" s="47">
        <v>64</v>
      </c>
      <c r="D19" s="45">
        <v>68</v>
      </c>
      <c r="E19" s="47">
        <v>65</v>
      </c>
      <c r="F19" s="45">
        <v>68</v>
      </c>
      <c r="G19" s="129">
        <v>64</v>
      </c>
    </row>
    <row r="20" spans="1:7" ht="14.25" thickBot="1">
      <c r="A20" s="130" t="s">
        <v>212</v>
      </c>
      <c r="B20" s="51">
        <v>68</v>
      </c>
      <c r="C20" s="52">
        <v>65</v>
      </c>
      <c r="D20" s="51">
        <v>68</v>
      </c>
      <c r="E20" s="52">
        <v>66</v>
      </c>
      <c r="F20" s="51">
        <v>67</v>
      </c>
      <c r="G20" s="131">
        <v>67</v>
      </c>
    </row>
    <row r="21" spans="1:7" ht="14.25" thickTop="1">
      <c r="A21" s="126" t="s">
        <v>213</v>
      </c>
      <c r="B21" s="48">
        <v>59</v>
      </c>
      <c r="C21" s="49">
        <v>53</v>
      </c>
      <c r="D21" s="48">
        <v>59</v>
      </c>
      <c r="E21" s="49">
        <v>55</v>
      </c>
      <c r="F21" s="48">
        <v>57</v>
      </c>
      <c r="G21" s="127">
        <v>54</v>
      </c>
    </row>
    <row r="22" spans="1:7" ht="13.5">
      <c r="A22" s="128" t="s">
        <v>214</v>
      </c>
      <c r="B22" s="45">
        <v>58</v>
      </c>
      <c r="C22" s="47">
        <v>53</v>
      </c>
      <c r="D22" s="45">
        <v>59</v>
      </c>
      <c r="E22" s="47">
        <v>54</v>
      </c>
      <c r="F22" s="45">
        <v>59</v>
      </c>
      <c r="G22" s="129">
        <v>53</v>
      </c>
    </row>
    <row r="23" spans="1:7" ht="13.5">
      <c r="A23" s="128" t="s">
        <v>23</v>
      </c>
      <c r="B23" s="45">
        <v>52</v>
      </c>
      <c r="C23" s="47">
        <v>49</v>
      </c>
      <c r="D23" s="45">
        <v>54</v>
      </c>
      <c r="E23" s="47">
        <v>52</v>
      </c>
      <c r="F23" s="377" t="s">
        <v>251</v>
      </c>
      <c r="G23" s="378"/>
    </row>
    <row r="24" spans="1:7" ht="13.5">
      <c r="A24" s="128" t="s">
        <v>215</v>
      </c>
      <c r="B24" s="45">
        <v>68</v>
      </c>
      <c r="C24" s="47">
        <v>64</v>
      </c>
      <c r="D24" s="45">
        <v>68</v>
      </c>
      <c r="E24" s="47">
        <v>65</v>
      </c>
      <c r="F24" s="46">
        <v>67</v>
      </c>
      <c r="G24" s="129">
        <v>65</v>
      </c>
    </row>
    <row r="25" spans="1:7" ht="14.25" thickBot="1">
      <c r="A25" s="130" t="s">
        <v>216</v>
      </c>
      <c r="B25" s="51">
        <v>68</v>
      </c>
      <c r="C25" s="52">
        <v>63</v>
      </c>
      <c r="D25" s="51">
        <v>67</v>
      </c>
      <c r="E25" s="52">
        <v>64</v>
      </c>
      <c r="F25" s="53">
        <v>66</v>
      </c>
      <c r="G25" s="131">
        <v>65</v>
      </c>
    </row>
    <row r="26" spans="1:7" ht="14.25" thickTop="1">
      <c r="A26" s="126" t="s">
        <v>217</v>
      </c>
      <c r="B26" s="48">
        <v>55</v>
      </c>
      <c r="C26" s="49">
        <v>51</v>
      </c>
      <c r="D26" s="48">
        <v>55</v>
      </c>
      <c r="E26" s="49">
        <v>53</v>
      </c>
      <c r="F26" s="50">
        <v>56</v>
      </c>
      <c r="G26" s="127">
        <v>52</v>
      </c>
    </row>
    <row r="27" spans="1:7" ht="13.5">
      <c r="A27" s="128" t="s">
        <v>218</v>
      </c>
      <c r="B27" s="45">
        <v>53</v>
      </c>
      <c r="C27" s="47">
        <v>51</v>
      </c>
      <c r="D27" s="45">
        <v>54</v>
      </c>
      <c r="E27" s="47">
        <v>53</v>
      </c>
      <c r="F27" s="46">
        <v>54</v>
      </c>
      <c r="G27" s="129">
        <v>52</v>
      </c>
    </row>
    <row r="28" spans="1:7" ht="13.5">
      <c r="A28" s="128" t="s">
        <v>25</v>
      </c>
      <c r="B28" s="45">
        <v>57</v>
      </c>
      <c r="C28" s="47">
        <v>53</v>
      </c>
      <c r="D28" s="45">
        <v>58</v>
      </c>
      <c r="E28" s="47">
        <v>54</v>
      </c>
      <c r="F28" s="46">
        <v>55</v>
      </c>
      <c r="G28" s="129">
        <v>52</v>
      </c>
    </row>
    <row r="29" spans="1:7" ht="13.5">
      <c r="A29" s="128" t="s">
        <v>219</v>
      </c>
      <c r="B29" s="45">
        <v>70</v>
      </c>
      <c r="C29" s="47">
        <v>67</v>
      </c>
      <c r="D29" s="45">
        <v>70</v>
      </c>
      <c r="E29" s="47">
        <v>68</v>
      </c>
      <c r="F29" s="46">
        <v>70</v>
      </c>
      <c r="G29" s="129">
        <v>66</v>
      </c>
    </row>
    <row r="30" spans="1:7" ht="14.25" thickBot="1">
      <c r="A30" s="130" t="s">
        <v>220</v>
      </c>
      <c r="B30" s="51">
        <v>70</v>
      </c>
      <c r="C30" s="52">
        <v>67</v>
      </c>
      <c r="D30" s="51">
        <v>70</v>
      </c>
      <c r="E30" s="52">
        <v>69</v>
      </c>
      <c r="F30" s="53">
        <v>70</v>
      </c>
      <c r="G30" s="131">
        <v>68</v>
      </c>
    </row>
    <row r="31" spans="1:7" ht="14.25" thickTop="1">
      <c r="A31" s="126" t="s">
        <v>221</v>
      </c>
      <c r="B31" s="48">
        <v>55</v>
      </c>
      <c r="C31" s="49">
        <v>50</v>
      </c>
      <c r="D31" s="48">
        <v>53</v>
      </c>
      <c r="E31" s="49">
        <v>51</v>
      </c>
      <c r="F31" s="50">
        <v>54</v>
      </c>
      <c r="G31" s="127">
        <v>50</v>
      </c>
    </row>
    <row r="32" spans="1:7" ht="13.5">
      <c r="A32" s="128" t="s">
        <v>29</v>
      </c>
      <c r="B32" s="45">
        <v>58</v>
      </c>
      <c r="C32" s="47">
        <v>57</v>
      </c>
      <c r="D32" s="45">
        <v>58</v>
      </c>
      <c r="E32" s="47">
        <v>52</v>
      </c>
      <c r="F32" s="46">
        <v>61</v>
      </c>
      <c r="G32" s="129">
        <v>55</v>
      </c>
    </row>
    <row r="33" spans="1:7" ht="13.5">
      <c r="A33" s="128" t="s">
        <v>79</v>
      </c>
      <c r="B33" s="45">
        <v>58</v>
      </c>
      <c r="C33" s="47">
        <v>53</v>
      </c>
      <c r="D33" s="45">
        <v>57</v>
      </c>
      <c r="E33" s="47">
        <v>52</v>
      </c>
      <c r="F33" s="46">
        <v>55</v>
      </c>
      <c r="G33" s="129">
        <v>52</v>
      </c>
    </row>
    <row r="34" spans="1:7" ht="13.5">
      <c r="A34" s="128" t="s">
        <v>222</v>
      </c>
      <c r="B34" s="45">
        <v>68</v>
      </c>
      <c r="C34" s="47">
        <v>66</v>
      </c>
      <c r="D34" s="45">
        <v>68</v>
      </c>
      <c r="E34" s="47">
        <v>66</v>
      </c>
      <c r="F34" s="46">
        <v>67</v>
      </c>
      <c r="G34" s="129">
        <v>67</v>
      </c>
    </row>
    <row r="35" spans="1:7" ht="14.25" thickBot="1">
      <c r="A35" s="130" t="s">
        <v>223</v>
      </c>
      <c r="B35" s="51">
        <v>68</v>
      </c>
      <c r="C35" s="52">
        <v>67</v>
      </c>
      <c r="D35" s="51">
        <v>69</v>
      </c>
      <c r="E35" s="52">
        <v>66</v>
      </c>
      <c r="F35" s="53">
        <v>67</v>
      </c>
      <c r="G35" s="131">
        <v>65</v>
      </c>
    </row>
    <row r="36" spans="1:7" ht="14.25" thickTop="1">
      <c r="A36" s="126" t="s">
        <v>30</v>
      </c>
      <c r="B36" s="48">
        <v>62</v>
      </c>
      <c r="C36" s="49">
        <v>48</v>
      </c>
      <c r="D36" s="215">
        <v>61</v>
      </c>
      <c r="E36" s="216">
        <v>48</v>
      </c>
      <c r="F36" s="50">
        <v>62</v>
      </c>
      <c r="G36" s="127">
        <v>48</v>
      </c>
    </row>
    <row r="37" spans="1:7" ht="13.5">
      <c r="A37" s="128" t="s">
        <v>224</v>
      </c>
      <c r="B37" s="45">
        <v>61</v>
      </c>
      <c r="C37" s="47">
        <v>47</v>
      </c>
      <c r="D37" s="45">
        <v>63</v>
      </c>
      <c r="E37" s="47">
        <v>49</v>
      </c>
      <c r="F37" s="46">
        <v>63</v>
      </c>
      <c r="G37" s="129">
        <v>48</v>
      </c>
    </row>
    <row r="38" spans="1:7" ht="13.5">
      <c r="A38" s="128" t="s">
        <v>225</v>
      </c>
      <c r="B38" s="45">
        <v>62</v>
      </c>
      <c r="C38" s="47">
        <v>47</v>
      </c>
      <c r="D38" s="45">
        <v>62</v>
      </c>
      <c r="E38" s="47">
        <v>50</v>
      </c>
      <c r="F38" s="46">
        <v>62</v>
      </c>
      <c r="G38" s="129">
        <v>48</v>
      </c>
    </row>
    <row r="39" spans="1:7" ht="13.5">
      <c r="A39" s="128" t="s">
        <v>226</v>
      </c>
      <c r="B39" s="45">
        <v>71</v>
      </c>
      <c r="C39" s="47">
        <v>68</v>
      </c>
      <c r="D39" s="45">
        <v>71</v>
      </c>
      <c r="E39" s="47">
        <v>68</v>
      </c>
      <c r="F39" s="46">
        <v>71</v>
      </c>
      <c r="G39" s="129">
        <v>70</v>
      </c>
    </row>
    <row r="40" spans="1:7" ht="14.25" thickBot="1">
      <c r="A40" s="132" t="s">
        <v>227</v>
      </c>
      <c r="B40" s="133">
        <v>70</v>
      </c>
      <c r="C40" s="134">
        <v>68</v>
      </c>
      <c r="D40" s="217">
        <v>70</v>
      </c>
      <c r="E40" s="218">
        <v>69</v>
      </c>
      <c r="F40" s="135">
        <v>70.4</v>
      </c>
      <c r="G40" s="136">
        <v>70</v>
      </c>
    </row>
    <row r="41" spans="1:7" ht="14.25" thickBot="1">
      <c r="A41" s="220" t="s">
        <v>253</v>
      </c>
      <c r="B41" s="219">
        <f aca="true" t="shared" si="0" ref="B41:G41">AVERAGE(B6:B40)</f>
        <v>60.74285714285714</v>
      </c>
      <c r="C41" s="219">
        <f t="shared" si="0"/>
        <v>55.48571428571429</v>
      </c>
      <c r="D41" s="219">
        <f t="shared" si="0"/>
        <v>60.65714285714286</v>
      </c>
      <c r="E41" s="219">
        <f t="shared" si="0"/>
        <v>56.02857142857143</v>
      </c>
      <c r="F41" s="219">
        <f t="shared" si="0"/>
        <v>60.48235294117647</v>
      </c>
      <c r="G41" s="219">
        <f t="shared" si="0"/>
        <v>55.588235294117645</v>
      </c>
    </row>
  </sheetData>
  <mergeCells count="6">
    <mergeCell ref="F23:G23"/>
    <mergeCell ref="F4:G4"/>
    <mergeCell ref="A4:A5"/>
    <mergeCell ref="F3:G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부산광역시보건환경연구원 대기보전과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조갑제</dc:creator>
  <cp:keywords/>
  <dc:description/>
  <cp:lastModifiedBy>김성림</cp:lastModifiedBy>
  <cp:lastPrinted>2008-07-15T00:21:03Z</cp:lastPrinted>
  <dcterms:created xsi:type="dcterms:W3CDTF">2001-12-06T01:49:48Z</dcterms:created>
  <dcterms:modified xsi:type="dcterms:W3CDTF">2008-07-15T07:23:18Z</dcterms:modified>
  <cp:category/>
  <cp:version/>
  <cp:contentType/>
  <cp:contentStatus/>
</cp:coreProperties>
</file>